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codeName="ThisWorkbook" hidePivotFieldList="1"/>
  <mc:AlternateContent xmlns:mc="http://schemas.openxmlformats.org/markup-compatibility/2006">
    <mc:Choice Requires="x15">
      <x15ac:absPath xmlns:x15ac="http://schemas.microsoft.com/office/spreadsheetml/2010/11/ac" url="F:\Recovered\NEW PC\C DRIVE\ECOLOGY\1.0 Anthony Nickson\2024\Broadfield Park Slopes (‘The Slopes’), The Esplanade, Rochdale, OL16 1AQ\biodiversity net gain\BM4.0\"/>
    </mc:Choice>
  </mc:AlternateContent>
  <xr:revisionPtr revIDLastSave="0" documentId="13_ncr:1_{CCEBC9CA-D0DE-4A74-90DA-C59B63677F0B}" xr6:coauthVersionLast="47" xr6:coauthVersionMax="47" xr10:uidLastSave="{00000000-0000-0000-0000-000000000000}"/>
  <bookViews>
    <workbookView xWindow="-105" yWindow="-16320" windowWidth="29040" windowHeight="15840" tabRatio="740" firstSheet="8" activeTab="13" xr2:uid="{00000000-000D-0000-FFFF-FFFF00000000}"/>
  </bookViews>
  <sheets>
    <sheet name="Introduction" sheetId="101" r:id="rId1"/>
    <sheet name="Start" sheetId="96" r:id="rId2"/>
    <sheet name="Instructions" sheetId="89" r:id="rId3"/>
    <sheet name="Irreplaceable Habitats" sheetId="106" r:id="rId4"/>
    <sheet name="Main Menu" sheetId="78" r:id="rId5"/>
    <sheet name="Results" sheetId="79" state="hidden" r:id="rId6"/>
    <sheet name="Headline Results" sheetId="73" r:id="rId7"/>
    <sheet name="Detailed Results" sheetId="36" state="hidden" r:id="rId8"/>
    <sheet name="Trading Summary Area Habitats" sheetId="72" r:id="rId9"/>
    <sheet name="Trading Summary Hedgerows" sheetId="104" state="hidden" r:id="rId10"/>
    <sheet name="Trading Summary WaterC's" sheetId="105" state="hidden" r:id="rId11"/>
    <sheet name="Off-site gain site summary" sheetId="107" state="hidden" r:id="rId12"/>
    <sheet name="A-1 On-Site Habitat Baseline" sheetId="11" r:id="rId13"/>
    <sheet name="A-2 On-Site Habitat Creation" sheetId="46" r:id="rId14"/>
    <sheet name="A-3 On-Site Habitat Enhancement" sheetId="32" r:id="rId15"/>
    <sheet name="D-1 Off-Site Habitat Baseline" sheetId="59" r:id="rId16"/>
    <sheet name="D-2 Off-Site Habitat Creation" sheetId="71" r:id="rId17"/>
    <sheet name="D-3 Off-Site Habitat Enhancment" sheetId="50" r:id="rId18"/>
    <sheet name="B-1 On-Site Hedge Baseline" sheetId="52" r:id="rId19"/>
    <sheet name="B-2 On-Site Hedge Creation" sheetId="42" r:id="rId20"/>
    <sheet name="B-3 On-Site Hedge Enhancement" sheetId="53" r:id="rId21"/>
    <sheet name="E-1 Off-Site Hedge Baseline" sheetId="55" r:id="rId22"/>
    <sheet name="E-2 Off-Site Hedge Creation" sheetId="58" r:id="rId23"/>
    <sheet name="E-3 Off-Site Hedge Enhancement" sheetId="57" r:id="rId24"/>
    <sheet name="C-1 On-Site WaterC' Baseline" sheetId="63" r:id="rId25"/>
    <sheet name="C-2 On-Site WaterC' Creation" sheetId="64" r:id="rId26"/>
    <sheet name="C-3 On-Site WaterC' Enhancement" sheetId="65" r:id="rId27"/>
    <sheet name="F-1 Off-Site WaterC' Baseline" sheetId="67" r:id="rId28"/>
    <sheet name="F-2 Off-Site WaterC' Creation" sheetId="68" r:id="rId29"/>
    <sheet name="F-3 Off-Site WaterC Enhancement" sheetId="69" r:id="rId30"/>
    <sheet name="G-1 All Habitats" sheetId="29" r:id="rId31"/>
    <sheet name="G-2 Habitat groups" sheetId="22" r:id="rId32"/>
    <sheet name="G-3 Multipliers" sheetId="28" r:id="rId33"/>
    <sheet name="G-4 Temporal multipliers" sheetId="20" r:id="rId34"/>
    <sheet name="G-5 Enhancement Temporal" sheetId="33" r:id="rId35"/>
    <sheet name="G-6 Hedgerow Data" sheetId="39" r:id="rId36"/>
    <sheet name="G-7 WaterC' Data" sheetId="66" r:id="rId37"/>
    <sheet name="G-8 Condition Look up" sheetId="99" r:id="rId38"/>
    <sheet name="Phase 1 Translation Tool" sheetId="103" r:id="rId39"/>
    <sheet name="Technical Data" sheetId="95" r:id="rId40"/>
    <sheet name="Lists" sheetId="61"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_xlnm.Print_Area" localSheetId="6">'Headline Results'!$A$1:$K$65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8" i="73" l="1"/>
  <c r="J53" i="73"/>
  <c r="K30" i="73" l="1"/>
  <c r="J30" i="73"/>
  <c r="J18" i="73"/>
  <c r="J151" i="22"/>
  <c r="J152" i="22"/>
  <c r="J153" i="22"/>
  <c r="J154" i="22"/>
  <c r="J155" i="22"/>
  <c r="J156" i="22"/>
  <c r="J157" i="22"/>
  <c r="J158" i="22"/>
  <c r="J159" i="22"/>
  <c r="J160" i="22"/>
  <c r="J161" i="22"/>
  <c r="J162" i="22"/>
  <c r="B103" i="22"/>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7" i="46"/>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17" i="11"/>
  <c r="X18" i="11"/>
  <c r="X19" i="11"/>
  <c r="X20"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U16"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W24" i="11" s="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W23" i="11" s="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W26" i="11" s="1"/>
  <c r="P22" i="11"/>
  <c r="W22" i="11" s="1"/>
  <c r="P18" i="11"/>
  <c r="W18" i="11" s="1"/>
  <c r="P14" i="1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W25" i="11" s="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5" i="11" l="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G134" i="22" l="1"/>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22" i="42" l="1"/>
  <c r="U23" i="42"/>
  <c r="U29" i="42"/>
  <c r="U31" i="42"/>
  <c r="U24" i="42"/>
  <c r="B12" i="53"/>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M13" i="53" s="1"/>
  <c r="F12" i="53"/>
  <c r="C12" i="53"/>
  <c r="AM12" i="55" a="1"/>
  <c r="AM12" i="55" s="1"/>
  <c r="AM13" i="55" s="1" a="1"/>
  <c r="AM13" i="55" s="1"/>
  <c r="AJ12" i="52" a="1"/>
  <c r="AJ12" i="52" s="1"/>
  <c r="J12" i="53" l="1"/>
  <c r="M12" i="53"/>
  <c r="R12" i="53" s="1"/>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Q12" i="53" l="1"/>
  <c r="X12" i="53"/>
  <c r="M14"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M15" i="53" l="1"/>
  <c r="AC15" i="53" s="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M16" i="53" l="1"/>
  <c r="O16" i="53"/>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M17" i="53"/>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M18" i="53"/>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M19" i="53"/>
  <c r="AC19" i="53" s="1"/>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M20" i="53"/>
  <c r="AC20" i="53" s="1"/>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X116" i="22"/>
  <c r="T116" i="22"/>
  <c r="F119" i="22"/>
  <c r="X119" i="22"/>
  <c r="T119" i="22"/>
  <c r="AG18" i="57"/>
  <c r="X18" i="57"/>
  <c r="AB18" i="57" s="1"/>
  <c r="M21" i="53"/>
  <c r="AC21" i="53" s="1"/>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M22" i="53"/>
  <c r="AC22" i="53" s="1"/>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M23" i="53"/>
  <c r="AC23" i="53" s="1"/>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M24" i="53"/>
  <c r="AC24" i="53" s="1"/>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M25" i="53"/>
  <c r="AC25" i="53" s="1"/>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M26" i="53"/>
  <c r="AC26" i="53" s="1"/>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R11" i="63" l="1"/>
  <c r="R10" i="63"/>
  <c r="Y13" i="63"/>
  <c r="Y12" i="63"/>
  <c r="W11" i="63"/>
  <c r="T176" i="22"/>
  <c r="D187" i="36" s="1"/>
  <c r="AG24" i="57"/>
  <c r="X24" i="57"/>
  <c r="AB25" i="53"/>
  <c r="S12" i="64"/>
  <c r="T12" i="64" s="1"/>
  <c r="U12" i="64" s="1"/>
  <c r="Z12" i="64" s="1"/>
  <c r="M27" i="53"/>
  <c r="AC27" i="53" s="1"/>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M28" i="53"/>
  <c r="AC28" i="53" s="1"/>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M29" i="53"/>
  <c r="AC29" i="53" s="1"/>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M30" i="53"/>
  <c r="AC30" i="53" s="1"/>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M31" i="53"/>
  <c r="AC31" i="53" s="1"/>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M32" i="53"/>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M33" i="53"/>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M34" i="53"/>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M35" i="53"/>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M36" i="53"/>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M37" i="53"/>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M38" i="53"/>
  <c r="AC38" i="53" s="1"/>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O11" i="46" s="1"/>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X103" i="22"/>
  <c r="T103"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M39" i="53"/>
  <c r="AC39" i="53" s="1"/>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M40" i="53"/>
  <c r="AC40" i="53" s="1"/>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M41" i="53"/>
  <c r="AC41" i="53" s="1"/>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M42" i="53"/>
  <c r="AC42" i="53" s="1"/>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M43" i="53"/>
  <c r="AC43" i="53" s="1"/>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M44" i="53"/>
  <c r="AC44" i="53" s="1"/>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M45" i="53"/>
  <c r="AC45" i="53" s="1"/>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M46" i="53"/>
  <c r="AC46" i="53" s="1"/>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M47" i="53"/>
  <c r="AC47" i="53" s="1"/>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M48" i="53"/>
  <c r="AC48" i="53" s="1"/>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M49" i="53"/>
  <c r="AC49" i="53" s="1"/>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M50" i="53"/>
  <c r="AC50" i="53" s="1"/>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M51" i="53"/>
  <c r="AC51" i="53" s="1"/>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M52" i="53"/>
  <c r="AC52" i="53" s="1"/>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M53" i="53"/>
  <c r="AC53" i="53" s="1"/>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M54" i="53"/>
  <c r="AC54" i="53" s="1"/>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H134" i="22" s="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H132" i="22" l="1"/>
  <c r="X52" i="57"/>
  <c r="AB52" i="57" s="1"/>
  <c r="AG54" i="57"/>
  <c r="M55" i="53"/>
  <c r="AC55" i="53" s="1"/>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M56" i="53"/>
  <c r="AC56" i="53" s="1"/>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M57" i="53"/>
  <c r="AC57" i="53" s="1"/>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M58" i="53"/>
  <c r="AC58" i="53" s="1"/>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M59" i="53"/>
  <c r="AC59" i="53" s="1"/>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M60" i="53"/>
  <c r="AC60" i="53" s="1"/>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M61" i="53"/>
  <c r="AC61" i="53" s="1"/>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M62" i="53"/>
  <c r="AC62" i="53" s="1"/>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M63" i="53"/>
  <c r="AC63" i="53" s="1"/>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M64" i="53"/>
  <c r="AC64" i="53" s="1"/>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X84" i="22"/>
  <c r="T84" i="22"/>
  <c r="F72" i="22"/>
  <c r="T72" i="22"/>
  <c r="X72" i="22"/>
  <c r="T64" i="22"/>
  <c r="X64" i="22"/>
  <c r="T57" i="22"/>
  <c r="X57" i="22"/>
  <c r="X48" i="22"/>
  <c r="T48" i="22"/>
  <c r="F39" i="22"/>
  <c r="X39" i="22"/>
  <c r="T39" i="22"/>
  <c r="X22" i="22"/>
  <c r="T22" i="22"/>
  <c r="X6" i="22"/>
  <c r="T6" i="22"/>
  <c r="F89" i="22"/>
  <c r="T89" i="22"/>
  <c r="X89"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X31" i="22"/>
  <c r="T31" i="22"/>
  <c r="T23" i="22"/>
  <c r="X23" i="22"/>
  <c r="F7" i="22"/>
  <c r="T7" i="22"/>
  <c r="X7" i="22"/>
  <c r="T97" i="22"/>
  <c r="X97" i="22"/>
  <c r="AG64" i="57"/>
  <c r="X62" i="57"/>
  <c r="AB62" i="57" s="1"/>
  <c r="M65" i="53"/>
  <c r="AC65" i="53" s="1"/>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M66" i="53"/>
  <c r="AC66" i="53" s="1"/>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6" i="71" l="1"/>
  <c r="V16" i="71" s="1"/>
  <c r="W16" i="71" s="1"/>
  <c r="X16" i="71" s="1"/>
  <c r="R15" i="71"/>
  <c r="V15" i="71" s="1"/>
  <c r="W15" i="71" s="1"/>
  <c r="X15" i="71" s="1"/>
  <c r="R14" i="71"/>
  <c r="V14" i="71" s="1"/>
  <c r="W14" i="71" s="1"/>
  <c r="X14" i="71" s="1"/>
  <c r="R13" i="71"/>
  <c r="V13" i="71" s="1"/>
  <c r="W13" i="71" s="1"/>
  <c r="X13" i="71" s="1"/>
  <c r="AG66" i="57"/>
  <c r="X64" i="57"/>
  <c r="AB64" i="57" s="1"/>
  <c r="AD65" i="57"/>
  <c r="M67" i="53"/>
  <c r="AC67" i="53" s="1"/>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X17" i="46" s="1"/>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S15" i="71" l="1"/>
  <c r="S13" i="71"/>
  <c r="T13" i="71" s="1"/>
  <c r="AB13" i="71" s="1"/>
  <c r="X18" i="22" s="1"/>
  <c r="S14" i="71"/>
  <c r="S16" i="71"/>
  <c r="T16" i="71" s="1"/>
  <c r="AB16" i="71" s="1"/>
  <c r="W15" i="46"/>
  <c r="X15" i="46" s="1"/>
  <c r="AC11" i="11"/>
  <c r="X65" i="57"/>
  <c r="AB65" i="57" s="1"/>
  <c r="AG67" i="57"/>
  <c r="AA64" i="57"/>
  <c r="M68" i="53"/>
  <c r="AC68" i="53" s="1"/>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M69" i="53"/>
  <c r="AC69" i="53" s="1"/>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M70" i="53"/>
  <c r="AC70" i="53" s="1"/>
  <c r="O70" i="53"/>
  <c r="T30" i="22"/>
  <c r="AP54" i="69"/>
  <c r="N54" i="69"/>
  <c r="U54" i="69" s="1"/>
  <c r="R68" i="57"/>
  <c r="AQ68" i="57"/>
  <c r="AK68" i="57"/>
  <c r="AD68" i="57"/>
  <c r="AJ68" i="57"/>
  <c r="AE68" i="57"/>
  <c r="M69" i="57"/>
  <c r="AK69" i="57" s="1"/>
  <c r="Q68" i="57"/>
  <c r="T68" i="57" s="1"/>
  <c r="N70" i="53"/>
  <c r="AA68" i="53"/>
  <c r="AB68" i="53"/>
  <c r="W11" i="71"/>
  <c r="X11" i="71" s="1"/>
  <c r="AB11" i="71"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76" i="22" l="1"/>
  <c r="X4" i="22"/>
  <c r="X20" i="22"/>
  <c r="X14" i="22"/>
  <c r="C8" i="107"/>
  <c r="Q12" i="59"/>
  <c r="T12" i="59"/>
  <c r="AB53" i="69"/>
  <c r="AC53" i="69" s="1"/>
  <c r="AD53" i="69" s="1"/>
  <c r="AG70" i="57"/>
  <c r="X68" i="57"/>
  <c r="AB68" i="57" s="1"/>
  <c r="M71" i="53"/>
  <c r="AC71" i="53" s="1"/>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M72" i="53"/>
  <c r="AC72" i="53" s="1"/>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U14" i="59" s="1"/>
  <c r="AA13" i="59"/>
  <c r="AU13" i="59" s="1"/>
  <c r="T8" i="22"/>
  <c r="AA15" i="59"/>
  <c r="AU15" i="59" s="1"/>
  <c r="X70" i="57"/>
  <c r="AB70" i="57" s="1"/>
  <c r="AG72" i="57"/>
  <c r="M73" i="53"/>
  <c r="AC73" i="53" s="1"/>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M74" i="53"/>
  <c r="AC74" i="53" s="1"/>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M75" i="53"/>
  <c r="AC75" i="53" s="1"/>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M76" i="53"/>
  <c r="AC76" i="53" s="1"/>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M77" i="53"/>
  <c r="AC77" i="53" s="1"/>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M78" i="53"/>
  <c r="AC78" i="53" s="1"/>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Q17" i="11" s="1"/>
  <c r="AC14" i="11"/>
  <c r="AC20" i="11"/>
  <c r="Q20" i="11" s="1"/>
  <c r="AC32" i="11"/>
  <c r="AC44" i="11"/>
  <c r="AC60" i="11"/>
  <c r="AC76" i="11"/>
  <c r="AC92" i="11"/>
  <c r="AC108" i="11"/>
  <c r="AC120" i="11"/>
  <c r="AC136" i="11"/>
  <c r="AC148" i="11"/>
  <c r="AC164" i="11"/>
  <c r="AC184" i="11"/>
  <c r="AC192" i="11"/>
  <c r="AC208" i="11"/>
  <c r="AC224" i="11"/>
  <c r="AC244" i="11"/>
  <c r="AC256" i="11"/>
  <c r="AC16" i="11"/>
  <c r="Q16" i="11" s="1"/>
  <c r="AC25" i="11"/>
  <c r="Q25" i="11" s="1"/>
  <c r="F116" i="22" s="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Q26" i="11" s="1"/>
  <c r="F104" i="22"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F103" i="22" s="1"/>
  <c r="AC24" i="11"/>
  <c r="Q24" i="11" s="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AC38" i="11"/>
  <c r="AC42" i="11"/>
  <c r="AC50" i="11"/>
  <c r="AC54" i="11"/>
  <c r="AC62" i="11"/>
  <c r="AC23" i="11"/>
  <c r="Q23" i="11" s="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W27" i="11" l="1"/>
  <c r="Q27" i="11"/>
  <c r="AD27" i="11"/>
  <c r="W14" i="11"/>
  <c r="Q14" i="11" s="1"/>
  <c r="AD14" i="11"/>
  <c r="F69" i="22"/>
  <c r="X16" i="11"/>
  <c r="AF75" i="57"/>
  <c r="X76" i="57"/>
  <c r="AB76" i="57" s="1"/>
  <c r="AG78" i="57"/>
  <c r="AA75" i="57"/>
  <c r="AQ77" i="57"/>
  <c r="M79" i="53"/>
  <c r="AC79" i="53" s="1"/>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F22" i="22" s="1"/>
  <c r="I40" i="22"/>
  <c r="AP19" i="59" a="1"/>
  <c r="AP19" i="59" s="1"/>
  <c r="E20" i="50" s="1"/>
  <c r="I50" i="22"/>
  <c r="I24" i="22"/>
  <c r="I95" i="22"/>
  <c r="I73" i="22"/>
  <c r="AC15" i="11"/>
  <c r="Q15" i="11" s="1"/>
  <c r="X15" i="11" s="1"/>
  <c r="AC13" i="11"/>
  <c r="Q13" i="11" s="1"/>
  <c r="F81" i="22" s="1"/>
  <c r="AC12" i="11"/>
  <c r="X14" i="11" l="1"/>
  <c r="F84" i="22"/>
  <c r="X13" i="11"/>
  <c r="F31" i="22"/>
  <c r="I93" i="22"/>
  <c r="AD12" i="11"/>
  <c r="W12" i="11"/>
  <c r="Y62" i="69"/>
  <c r="AB62" i="69" s="1"/>
  <c r="AC62" i="69" s="1"/>
  <c r="AD62" i="69" s="1"/>
  <c r="X77" i="57"/>
  <c r="AF77" i="57" s="1"/>
  <c r="AG79" i="57"/>
  <c r="I98" i="22"/>
  <c r="I117" i="22"/>
  <c r="K40" i="36"/>
  <c r="Z261" i="59" s="1"/>
  <c r="I64" i="22"/>
  <c r="AA76" i="57"/>
  <c r="AD78" i="57"/>
  <c r="M80" i="53"/>
  <c r="AC80" i="53" s="1"/>
  <c r="O80" i="53"/>
  <c r="AP64" i="69"/>
  <c r="N64" i="69"/>
  <c r="U64" i="69" s="1"/>
  <c r="AF76" i="57"/>
  <c r="R78" i="57"/>
  <c r="AE78" i="57"/>
  <c r="Q78" i="57"/>
  <c r="T78" i="57" s="1"/>
  <c r="AQ78" i="57"/>
  <c r="AJ78" i="57"/>
  <c r="AC78" i="57"/>
  <c r="M79" i="57"/>
  <c r="AK79" i="57" s="1"/>
  <c r="Q19" i="50"/>
  <c r="P19" i="50" s="1"/>
  <c r="Z18" i="50"/>
  <c r="N80" i="53"/>
  <c r="I41" i="22"/>
  <c r="O20" i="50"/>
  <c r="T20" i="50"/>
  <c r="Q12" i="11"/>
  <c r="X12" i="11" s="1"/>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G259" i="46" l="1"/>
  <c r="W261" i="11"/>
  <c r="G259" i="71"/>
  <c r="H260" i="11"/>
  <c r="H261" i="59"/>
  <c r="H259" i="11"/>
  <c r="H259" i="59"/>
  <c r="W259" i="11"/>
  <c r="AG62" i="69"/>
  <c r="AG80" i="57"/>
  <c r="X78" i="57"/>
  <c r="AB78" i="57" s="1"/>
  <c r="T259" i="11"/>
  <c r="Z259" i="59"/>
  <c r="S259" i="11"/>
  <c r="W259" i="59"/>
  <c r="V259" i="59"/>
  <c r="AA77" i="57"/>
  <c r="M81" i="53"/>
  <c r="AC81" i="53" s="1"/>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K6" i="46" l="1"/>
  <c r="L6" i="71"/>
  <c r="X79" i="57"/>
  <c r="AB79" i="57" s="1"/>
  <c r="AG81" i="57"/>
  <c r="AF78" i="57"/>
  <c r="M82" i="53"/>
  <c r="AC82" i="53" s="1"/>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M83" i="53"/>
  <c r="AC83" i="53" s="1"/>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M84" i="53"/>
  <c r="AC84" i="53" s="1"/>
  <c r="O84" i="53"/>
  <c r="AP68" i="69"/>
  <c r="N68" i="69"/>
  <c r="U68" i="69" s="1"/>
  <c r="AA80" i="57"/>
  <c r="AF80" i="57"/>
  <c r="Q82" i="57"/>
  <c r="T82" i="57" s="1"/>
  <c r="AE82" i="57"/>
  <c r="AQ82" i="57"/>
  <c r="AC82" i="57"/>
  <c r="AD82" i="57"/>
  <c r="AJ82" i="57"/>
  <c r="R82" i="57"/>
  <c r="M83" i="57"/>
  <c r="AK83" i="57" s="1"/>
  <c r="Q23" i="50"/>
  <c r="P23" i="50" s="1"/>
  <c r="N84" i="53"/>
  <c r="T14" i="32"/>
  <c r="O14" i="32"/>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M85" i="53"/>
  <c r="AC85" i="53" s="1"/>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M86" i="53"/>
  <c r="AC86" i="53" s="1"/>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M87" i="53"/>
  <c r="AC87" i="53" s="1"/>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M88" i="53"/>
  <c r="AC88" i="53" s="1"/>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M89" i="53"/>
  <c r="AC89" i="53" s="1"/>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M90" i="53"/>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AC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M91" i="53"/>
  <c r="AC91" i="53" s="1"/>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M92" i="53"/>
  <c r="AC92" i="53" s="1"/>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M93" i="53"/>
  <c r="AC93" i="53" s="1"/>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X160" i="57" l="1"/>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Q13" i="32" s="1"/>
  <c r="AB145" i="69"/>
  <c r="AG145" i="69"/>
  <c r="AO147" i="69"/>
  <c r="O148" i="69"/>
  <c r="AK103" i="50"/>
  <c r="AF161" i="53"/>
  <c r="AE162" i="53"/>
  <c r="AK93" i="32"/>
  <c r="AM102" i="50"/>
  <c r="R162" i="53"/>
  <c r="X162" i="53" s="1"/>
  <c r="AL100" i="50"/>
  <c r="A12" i="32"/>
  <c r="Q12" i="32" s="1"/>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U17" i="32" s="1"/>
  <c r="G17" i="32"/>
  <c r="A17" i="32"/>
  <c r="Q17" i="32" s="1"/>
  <c r="N17" i="32"/>
  <c r="B17" i="32"/>
  <c r="R17" i="32" s="1"/>
  <c r="H17" i="32"/>
  <c r="G18" i="32"/>
  <c r="M18" i="32"/>
  <c r="I18" i="32"/>
  <c r="J18" i="32"/>
  <c r="K18" i="32"/>
  <c r="H18" i="32"/>
  <c r="A18" i="32"/>
  <c r="Q18" i="32" s="1"/>
  <c r="L18" i="32"/>
  <c r="B18" i="32"/>
  <c r="R18" i="32" s="1"/>
  <c r="F18" i="32"/>
  <c r="U18" i="32" s="1"/>
  <c r="N19" i="32"/>
  <c r="H19" i="32"/>
  <c r="G19" i="32"/>
  <c r="I19" i="32"/>
  <c r="F19" i="32"/>
  <c r="U19" i="32" s="1"/>
  <c r="J19" i="32"/>
  <c r="A19" i="32"/>
  <c r="Q19" i="32" s="1"/>
  <c r="K19" i="32"/>
  <c r="B19" i="32"/>
  <c r="R19" i="32" s="1"/>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U16" i="32" s="1"/>
  <c r="L16" i="32"/>
  <c r="N16" i="32"/>
  <c r="M16" i="32"/>
  <c r="A16" i="32"/>
  <c r="Q16" i="32" s="1"/>
  <c r="G16" i="32"/>
  <c r="B16" i="32"/>
  <c r="R16" i="32" s="1"/>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R12" i="32" s="1"/>
  <c r="B13" i="32"/>
  <c r="R13" i="32" s="1"/>
  <c r="A14" i="32"/>
  <c r="Q14" i="32" s="1"/>
  <c r="B14" i="32"/>
  <c r="R14" i="32" s="1"/>
  <c r="A15" i="32"/>
  <c r="Q15" i="32" s="1"/>
  <c r="B15" i="32"/>
  <c r="R15" i="32" s="1"/>
  <c r="I93" i="32"/>
  <c r="J93" i="32"/>
  <c r="L93" i="32"/>
  <c r="F93" i="32"/>
  <c r="U93" i="32" s="1"/>
  <c r="N93" i="32"/>
  <c r="K93" i="32"/>
  <c r="H93" i="32"/>
  <c r="G93" i="32"/>
  <c r="M93" i="32"/>
  <c r="F13" i="32"/>
  <c r="U13" i="32" s="1"/>
  <c r="N13" i="32"/>
  <c r="L14" i="32"/>
  <c r="J15" i="32"/>
  <c r="G13" i="32"/>
  <c r="M14" i="32"/>
  <c r="K15" i="32"/>
  <c r="H13" i="32"/>
  <c r="F14" i="32"/>
  <c r="U14" i="32" s="1"/>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14"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AD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AA163" i="57" l="1"/>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G13" i="32"/>
  <c r="AH13"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F132" i="22" s="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J22" i="22" l="1"/>
  <c r="AX85" i="22" s="1"/>
  <c r="Y182" i="69"/>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J17" i="73" s="1"/>
  <c r="K17"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H29" i="73" l="1"/>
  <c r="J29" i="73"/>
  <c r="K29" i="73" s="1"/>
  <c r="AQ257" i="57"/>
  <c r="AD187" i="32"/>
  <c r="AG187" i="32" s="1"/>
  <c r="AH187" i="32" s="1"/>
  <c r="AD197" i="50"/>
  <c r="AG197" i="50" s="1"/>
  <c r="X256" i="57"/>
  <c r="AB256" i="57"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H52" i="73" s="1"/>
  <c r="J52" i="73" s="1"/>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BC97" i="22" s="1"/>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105" i="22" l="1"/>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2" i="104" l="1"/>
  <c r="H23" i="104" s="1"/>
  <c r="H21" i="104"/>
  <c r="D48" i="104"/>
  <c r="AD250" i="32"/>
  <c r="AG250" i="32" s="1"/>
  <c r="AH250" i="32" s="1"/>
  <c r="AD251" i="32"/>
  <c r="BD80" i="22"/>
  <c r="E109" i="72" s="1"/>
  <c r="T253" i="32"/>
  <c r="O253" i="32"/>
  <c r="T252" i="32"/>
  <c r="O252" i="32"/>
  <c r="AP257" i="50"/>
  <c r="AP259" i="50" s="1"/>
  <c r="L24" i="73" s="1"/>
  <c r="AQ259" i="50"/>
  <c r="H24"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28" i="73" l="1"/>
  <c r="J28" i="73"/>
  <c r="K28" i="73" s="1"/>
  <c r="H31" i="104"/>
  <c r="H14" i="104"/>
  <c r="G5" i="104" s="1"/>
  <c r="Q253" i="32"/>
  <c r="P253" i="32" s="1"/>
  <c r="Q252" i="32"/>
  <c r="P252" i="32" s="1"/>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BA9" i="22"/>
  <c r="BA13" i="22"/>
  <c r="AL5" i="22"/>
  <c r="R25" i="22"/>
  <c r="AO10" i="22"/>
  <c r="AK15" i="11" a="1"/>
  <c r="AK15" i="11" s="1"/>
  <c r="AK16" i="11" s="1" a="1"/>
  <c r="AK16" i="11" s="1"/>
  <c r="BG9" i="22"/>
  <c r="J83" i="22"/>
  <c r="AX13" i="22" s="1"/>
  <c r="AE83" i="22"/>
  <c r="H16" i="73" l="1"/>
  <c r="H37" i="73" s="1"/>
  <c r="J16" i="73"/>
  <c r="K16" i="73" s="1"/>
  <c r="H47" i="73"/>
  <c r="H51" i="73" s="1"/>
  <c r="J51" i="73" s="1"/>
  <c r="E61" i="73"/>
  <c r="F61" i="73" s="1"/>
  <c r="H61" i="73" s="1"/>
  <c r="BB34" i="22"/>
  <c r="AP5" i="22"/>
  <c r="AF25" i="22"/>
  <c r="AL10" i="22"/>
  <c r="D65" i="36"/>
  <c r="H65" i="36" s="1"/>
  <c r="AK17" i="11" a="1"/>
  <c r="AK17" i="11" s="1"/>
  <c r="AK18" i="11" s="1" a="1"/>
  <c r="AK18" i="11" s="1"/>
  <c r="R83" i="22"/>
  <c r="H14" i="36" l="1"/>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29" i="105" l="1"/>
  <c r="H30" i="105"/>
  <c r="G7" i="105" s="1"/>
  <c r="AD257" i="65"/>
  <c r="C23" i="105"/>
  <c r="E23" i="105"/>
  <c r="C32" i="105"/>
  <c r="E32" i="105"/>
  <c r="U258" i="67"/>
  <c r="H21" i="105" l="1"/>
  <c r="H22" i="105"/>
  <c r="G6" i="105" s="1"/>
  <c r="T172" i="22"/>
  <c r="AD172" i="22" s="1"/>
  <c r="D13" i="105" s="1"/>
  <c r="D14" i="105" s="1"/>
  <c r="H22" i="36"/>
  <c r="AB258" i="67"/>
  <c r="H31" i="36" s="1"/>
  <c r="H22" i="73"/>
  <c r="AB10" i="67"/>
  <c r="D183" i="36" l="1"/>
  <c r="D203" i="36" s="1"/>
  <c r="AF172" i="22"/>
  <c r="E13" i="105" s="1"/>
  <c r="E14" i="105" s="1"/>
  <c r="G5" i="105" s="1"/>
  <c r="H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<sst xmlns="http://schemas.openxmlformats.org/spreadsheetml/2006/main" count="7486" uniqueCount="1692">
  <si>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</si>
  <si>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</si>
  <si>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</si>
  <si>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</si>
  <si>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</si>
  <si>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</si>
  <si>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</si>
  <si>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</si>
  <si>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</si>
  <si>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</si>
  <si>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</si>
  <si>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</si>
  <si>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</si>
  <si>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</si>
  <si>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</si>
  <si>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</si>
  <si>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</si>
  <si>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</si>
  <si>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</si>
  <si>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</si>
  <si>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</si>
  <si>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</si>
  <si>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</si>
  <si>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</si>
  <si>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</si>
  <si>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</si>
  <si>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</si>
  <si>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</si>
  <si>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</si>
  <si>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</si>
  <si>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</si>
  <si>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</si>
  <si>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</si>
  <si>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</si>
  <si>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</si>
  <si>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</si>
  <si>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</si>
  <si>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</si>
  <si>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</si>
  <si>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</si>
  <si>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</si>
  <si>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</si>
  <si>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</si>
  <si>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</si>
  <si>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</si>
  <si>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</si>
  <si>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</si>
  <si>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</si>
  <si>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</si>
  <si>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</si>
  <si>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</si>
  <si>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</si>
  <si>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</si>
  <si>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</si>
  <si>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</si>
  <si>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</si>
  <si>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</si>
  <si>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</si>
  <si>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</si>
  <si>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</si>
  <si>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</si>
  <si>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</si>
  <si>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</si>
  <si>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</si>
  <si>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</si>
  <si>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</si>
  <si>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</si>
  <si>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</si>
  <si>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</si>
  <si>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</si>
  <si>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</si>
  <si>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</si>
  <si>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</si>
  <si>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</si>
  <si>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</si>
  <si>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</si>
  <si>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</si>
  <si>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</si>
  <si>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</si>
  <si>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</si>
  <si>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</si>
  <si>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</si>
  <si>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</si>
  <si>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</si>
  <si>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</si>
  <si>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</si>
  <si>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</si>
  <si>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</si>
  <si>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</si>
  <si>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</si>
  <si>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</si>
  <si>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</si>
  <si>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</si>
  <si>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</si>
  <si>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</si>
  <si>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</si>
  <si>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</si>
  <si>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</si>
  <si>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</si>
  <si>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</si>
  <si>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</si>
  <si>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</si>
  <si>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</si>
  <si>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</si>
  <si>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</si>
  <si>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</si>
  <si>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</si>
  <si>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</si>
  <si>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</si>
  <si>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</si>
  <si>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</si>
  <si>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</si>
  <si>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</si>
  <si>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</si>
  <si>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</si>
  <si>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</si>
  <si>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</si>
  <si>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</si>
  <si>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</si>
  <si>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</si>
  <si>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</si>
  <si>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</si>
  <si>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</si>
  <si>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</si>
  <si>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</si>
  <si>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</si>
  <si>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</si>
  <si>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</si>
  <si>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</si>
  <si>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</si>
  <si>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</si>
  <si>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</si>
  <si>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</si>
  <si>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</si>
  <si>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</si>
  <si>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</si>
  <si>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</si>
  <si>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</si>
  <si>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</si>
  <si>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</si>
  <si>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</si>
  <si>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</si>
  <si>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</si>
  <si>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</si>
  <si>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</si>
  <si>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</si>
  <si>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</si>
  <si>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</si>
  <si>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</si>
  <si>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</si>
  <si>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</si>
  <si>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</si>
  <si>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</si>
  <si>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</si>
  <si>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</si>
  <si>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</si>
  <si>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</si>
  <si>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</si>
  <si>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</si>
  <si>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</si>
  <si>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</si>
  <si>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</si>
  <si>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</si>
  <si>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</si>
  <si>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</si>
  <si>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</si>
  <si>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</si>
  <si>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</si>
  <si>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</si>
  <si>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</si>
  <si>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</si>
  <si>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</si>
  <si>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</si>
  <si>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</si>
  <si>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</si>
  <si>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</si>
  <si>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</si>
  <si>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</si>
  <si>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</si>
  <si>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</si>
  <si>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</si>
  <si>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</si>
  <si>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</si>
  <si>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</si>
  <si>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</si>
  <si>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</si>
  <si>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</si>
  <si>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</si>
  <si>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</si>
  <si>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</si>
  <si>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</si>
  <si>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</si>
  <si>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</si>
  <si>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</si>
  <si>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</si>
  <si>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</si>
  <si>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</si>
  <si>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</si>
  <si>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</si>
  <si>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</si>
  <si>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</si>
  <si>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</si>
  <si>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</si>
  <si>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</si>
  <si>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</si>
  <si>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</si>
  <si>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</si>
  <si>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</si>
  <si>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</si>
  <si>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</si>
  <si>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</si>
  <si>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</si>
  <si>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</si>
  <si>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</si>
  <si>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</si>
  <si>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</si>
  <si>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</si>
  <si>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</si>
  <si>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</si>
  <si>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</si>
  <si>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</si>
  <si>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</si>
  <si>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</si>
  <si>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</si>
  <si>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</si>
  <si>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</si>
  <si>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</si>
  <si>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</si>
  <si>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</si>
  <si>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</si>
  <si>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</si>
  <si>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</si>
  <si>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</si>
  <si>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</si>
  <si>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</si>
  <si>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</si>
  <si>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</si>
  <si>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</si>
  <si>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</si>
  <si>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</si>
  <si>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</si>
  <si>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</si>
  <si>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</si>
  <si>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</si>
  <si>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</si>
  <si>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</si>
  <si>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</si>
  <si>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</si>
  <si>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</si>
  <si>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</si>
  <si>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</si>
  <si>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</si>
  <si>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</si>
  <si>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</si>
  <si>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</si>
  <si>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</si>
  <si>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</si>
  <si>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</si>
  <si>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</si>
  <si>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</si>
  <si>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</si>
  <si>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</si>
  <si>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</si>
  <si>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</si>
  <si>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</si>
  <si>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</si>
  <si>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</si>
  <si>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</si>
  <si>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</si>
  <si>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</si>
  <si>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</si>
  <si>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</si>
  <si>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</si>
  <si>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</si>
  <si>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</si>
  <si>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</si>
  <si>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</si>
  <si>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</si>
  <si>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</si>
  <si>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</si>
  <si>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</si>
  <si>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</si>
  <si>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</si>
  <si>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</si>
  <si>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</si>
  <si>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</si>
  <si>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</si>
  <si>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</si>
  <si>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</si>
  <si>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</si>
  <si>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</si>
  <si>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</si>
  <si>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</si>
  <si>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</si>
  <si>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</si>
  <si>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</si>
  <si>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</si>
  <si>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</si>
  <si>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</si>
  <si>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</si>
  <si>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</si>
  <si>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</si>
  <si>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</si>
  <si>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</si>
  <si>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</si>
  <si>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</si>
  <si>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</si>
  <si>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</si>
  <si>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</si>
  <si>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</si>
  <si>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</si>
  <si>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</si>
  <si>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</si>
  <si>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</si>
  <si>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</si>
  <si>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</si>
  <si>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</si>
  <si>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</si>
  <si>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</si>
  <si>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</si>
  <si>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</si>
  <si>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</si>
  <si>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</si>
  <si>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</si>
  <si>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</si>
  <si>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</si>
  <si>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</si>
  <si>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</si>
  <si>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</si>
  <si>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</si>
  <si>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</si>
  <si>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</si>
  <si>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</si>
  <si>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</si>
  <si>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</si>
  <si>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</si>
  <si>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</si>
  <si>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</si>
  <si>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</si>
  <si>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</si>
  <si>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</si>
  <si>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</si>
  <si>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</si>
  <si>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</si>
  <si>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</si>
  <si>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</si>
  <si>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</si>
  <si>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</si>
  <si>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</si>
  <si>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</si>
  <si>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</si>
  <si>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</si>
  <si>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</si>
  <si>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</si>
  <si>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</si>
  <si>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</si>
  <si>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</si>
  <si>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</si>
  <si>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</si>
  <si>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</si>
  <si>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</si>
  <si>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</si>
  <si>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</si>
  <si>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</si>
  <si>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</si>
  <si>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</si>
  <si>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</si>
  <si>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</si>
  <si>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</si>
  <si>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</si>
  <si>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</si>
  <si>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</si>
  <si>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</si>
  <si>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</si>
  <si>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</si>
  <si>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</si>
  <si>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</si>
  <si>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</si>
  <si>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</si>
  <si>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</si>
  <si>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</si>
  <si>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</si>
  <si>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</si>
  <si>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</si>
  <si>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</si>
  <si>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</si>
  <si>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</si>
  <si>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</si>
  <si>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</si>
  <si>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</si>
  <si>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</si>
  <si>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</si>
  <si>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</si>
  <si>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</si>
  <si>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</si>
  <si>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</si>
  <si>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</si>
  <si>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</si>
  <si>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</si>
  <si>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</si>
  <si>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</si>
  <si>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</si>
  <si>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</si>
  <si>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</si>
  <si>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</si>
  <si>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</si>
  <si>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</si>
  <si>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</si>
  <si>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</si>
  <si>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</si>
  <si>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</si>
  <si>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</si>
  <si>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</si>
  <si>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</si>
  <si>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</si>
  <si>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</si>
  <si>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</si>
  <si>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</si>
  <si>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</si>
  <si>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</si>
  <si>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</si>
  <si>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</si>
  <si>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</si>
  <si>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</si>
  <si>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</si>
  <si>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</si>
  <si>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</si>
  <si>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</si>
  <si>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</si>
  <si>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</si>
  <si>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</si>
  <si>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</si>
  <si>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</si>
  <si>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</si>
  <si>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</si>
  <si>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</si>
  <si>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</si>
  <si>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</si>
  <si>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</si>
  <si>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</si>
  <si>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</si>
  <si>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</si>
  <si>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</si>
  <si>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</si>
  <si>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</si>
  <si>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</si>
  <si>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</si>
  <si>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</si>
  <si>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</si>
  <si>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</si>
  <si>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</si>
  <si>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</si>
  <si>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</si>
  <si>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</si>
  <si>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</si>
  <si>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</si>
  <si>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</si>
  <si>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</si>
  <si>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</si>
  <si>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</si>
  <si>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</si>
  <si>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</si>
  <si>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</si>
  <si>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</si>
  <si>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</si>
  <si>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</si>
  <si>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</si>
  <si>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</si>
  <si>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</si>
  <si>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</si>
  <si>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</si>
  <si>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</si>
  <si>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</si>
  <si>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</si>
  <si>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</si>
  <si>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</si>
  <si>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</si>
  <si>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</si>
  <si>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</si>
  <si>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</si>
  <si>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</si>
  <si>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</si>
  <si>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</si>
  <si>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</si>
  <si>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</si>
  <si>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</si>
  <si>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</si>
  <si>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</si>
  <si>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</si>
  <si>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</si>
  <si>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</si>
  <si>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</si>
  <si>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</si>
  <si>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</si>
  <si>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</si>
  <si>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</si>
  <si>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</si>
  <si>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</si>
  <si>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</si>
  <si>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</si>
  <si>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</si>
  <si>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</si>
  <si>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</si>
  <si>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</si>
  <si>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</si>
  <si>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</si>
  <si>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</si>
  <si>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</si>
  <si>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Traditional orchards</t>
  </si>
  <si>
    <t>Grassland - Traditional orchards</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</si>
  <si>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</si>
  <si>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</si>
  <si>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</si>
  <si>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</si>
  <si>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</si>
  <si>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</si>
  <si>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</si>
  <si>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</si>
  <si>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</si>
  <si>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</si>
  <si>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</si>
  <si>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</si>
  <si>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</si>
  <si>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</si>
  <si>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</si>
  <si>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</si>
  <si>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</si>
  <si>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</si>
  <si>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</si>
  <si>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</si>
  <si>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</si>
  <si>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</si>
  <si>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</si>
  <si>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</si>
  <si>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</si>
  <si>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</si>
  <si>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</si>
  <si>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</si>
  <si>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</si>
  <si>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</si>
  <si>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</si>
  <si>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</si>
  <si>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</si>
  <si>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</si>
  <si>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</si>
  <si>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</si>
  <si>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</si>
  <si>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</si>
  <si>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</si>
  <si>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</si>
  <si>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</si>
  <si>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</si>
  <si>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</si>
  <si>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</si>
  <si>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</si>
  <si>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</si>
  <si>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</si>
  <si>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</si>
  <si>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</si>
  <si>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</si>
  <si>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</si>
  <si>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</si>
  <si>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</si>
  <si>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</si>
  <si>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</si>
  <si>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</si>
  <si>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</si>
  <si>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</si>
  <si>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</si>
  <si>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</si>
  <si>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</si>
  <si>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</si>
  <si>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</si>
  <si>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</si>
  <si>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</si>
  <si>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</si>
  <si>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</si>
  <si>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</si>
  <si>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</si>
  <si>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</si>
  <si>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</si>
  <si>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</si>
  <si>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</si>
  <si>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</si>
  <si>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</si>
  <si>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</si>
  <si>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</si>
  <si>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</si>
  <si>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</si>
  <si>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</si>
  <si>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</si>
  <si>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</si>
  <si>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</si>
  <si>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</si>
  <si>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</si>
  <si>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</si>
  <si>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</si>
  <si>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</si>
  <si>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</si>
  <si>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</si>
  <si>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</si>
  <si>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</si>
  <si>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</si>
  <si>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</si>
  <si>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</si>
  <si>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</si>
  <si>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</si>
  <si>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</si>
  <si>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</si>
  <si>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</si>
  <si>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</si>
  <si>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</si>
  <si>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</si>
  <si>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</si>
  <si>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</si>
  <si>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</si>
  <si>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</si>
  <si>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</si>
  <si>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</si>
  <si>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</si>
  <si>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</si>
  <si>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</si>
  <si>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</si>
  <si>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</si>
  <si>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</si>
  <si>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</si>
  <si>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</si>
  <si>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</si>
  <si>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</si>
  <si>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</si>
  <si>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</si>
  <si>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</si>
  <si>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</si>
  <si>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</si>
  <si>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</si>
  <si>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</si>
  <si>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</si>
  <si>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</si>
  <si>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</si>
  <si>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</si>
  <si>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</si>
  <si>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</si>
  <si>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</si>
  <si>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</si>
  <si>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</si>
  <si>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</si>
  <si>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</si>
  <si>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</si>
  <si>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</si>
  <si>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</si>
  <si>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</si>
  <si>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</si>
  <si>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</si>
  <si>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</si>
  <si>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</si>
  <si>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</si>
  <si>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</si>
  <si>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</si>
  <si>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</si>
  <si>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</si>
  <si>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</si>
  <si>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</si>
  <si>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</si>
  <si>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</si>
  <si>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</si>
  <si>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</si>
  <si>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</si>
  <si>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</si>
  <si>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</si>
  <si>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</si>
  <si>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</si>
  <si>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</si>
  <si>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</si>
  <si>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</si>
  <si>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</si>
  <si>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</si>
  <si>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</si>
  <si>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</si>
  <si>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</si>
  <si>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</si>
  <si>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</si>
  <si>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</si>
  <si>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</si>
  <si>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</si>
  <si>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</si>
  <si>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</si>
  <si>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</si>
  <si>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</si>
  <si>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</si>
  <si>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</si>
  <si>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</si>
  <si>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</si>
  <si>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</si>
  <si>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</si>
  <si>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</si>
  <si>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</si>
  <si>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</si>
  <si>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</si>
  <si>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</si>
  <si>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</si>
  <si>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</si>
  <si>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</si>
  <si>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</si>
  <si>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</si>
  <si>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</si>
  <si>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</si>
  <si>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</si>
  <si>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</si>
  <si>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</si>
  <si>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</si>
  <si>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</si>
  <si>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</si>
  <si>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</si>
  <si>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</si>
  <si>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</si>
  <si>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</si>
  <si>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</si>
  <si>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</si>
  <si>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</si>
  <si>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</si>
  <si>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</si>
  <si>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</si>
  <si>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</si>
  <si>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</si>
  <si>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</si>
  <si>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</si>
  <si>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</si>
  <si>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</si>
  <si>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</si>
  <si>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</si>
  <si>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</si>
  <si>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</si>
  <si>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</si>
  <si>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</si>
  <si>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</si>
  <si>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</si>
  <si>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</si>
  <si>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</si>
  <si>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</si>
  <si>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</si>
  <si>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</si>
  <si>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</si>
  <si>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</si>
  <si>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</si>
  <si>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</si>
  <si>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</si>
  <si>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</si>
  <si>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</si>
  <si>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</si>
  <si>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</si>
  <si>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</si>
  <si>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</si>
  <si>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</si>
  <si>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</si>
  <si>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</si>
  <si>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</si>
  <si>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</si>
  <si>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</si>
  <si>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</si>
  <si>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</si>
  <si>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</si>
  <si>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</si>
  <si>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</si>
  <si>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</si>
  <si>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</si>
  <si>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</si>
  <si>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</si>
  <si>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</si>
  <si>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</si>
  <si>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</si>
  <si>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</si>
  <si>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</si>
  <si>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</si>
  <si>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</si>
  <si>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</si>
  <si>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</si>
  <si>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</si>
  <si>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</si>
  <si>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</si>
  <si>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</si>
  <si>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</si>
  <si>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</si>
  <si>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</si>
  <si>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</si>
  <si>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</si>
  <si>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</si>
  <si>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</si>
  <si>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</si>
  <si>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</si>
  <si>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</si>
  <si>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</si>
  <si>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</si>
  <si>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</si>
  <si>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</si>
  <si>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</si>
  <si>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</si>
  <si>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</si>
  <si>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</si>
  <si>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</si>
  <si>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</si>
  <si>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</si>
  <si>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</si>
  <si>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</si>
  <si>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</si>
  <si>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</si>
  <si>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</si>
  <si>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</si>
  <si>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</si>
  <si>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</si>
  <si>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</si>
  <si>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</si>
  <si>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</si>
  <si>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</si>
  <si>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</si>
  <si>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</si>
  <si>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</si>
  <si>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</si>
  <si>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</si>
  <si>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</si>
  <si>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</si>
  <si>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</si>
  <si>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</si>
  <si>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</si>
  <si>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</si>
  <si>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</si>
  <si>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</si>
  <si>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</si>
  <si>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</si>
  <si>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</si>
  <si>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</si>
  <si>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</si>
  <si>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</si>
  <si>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</si>
  <si>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</si>
  <si>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</si>
  <si>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</si>
  <si>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</si>
  <si>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</si>
  <si>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</si>
  <si>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</si>
  <si>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</si>
  <si>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</si>
  <si>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</si>
  <si>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</si>
  <si>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</si>
  <si>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</si>
  <si>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</si>
  <si>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</si>
  <si>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</si>
  <si>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</si>
  <si>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</si>
  <si>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</si>
  <si>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</si>
  <si>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</si>
  <si>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</si>
  <si>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</si>
  <si>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</si>
  <si>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</si>
  <si>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</si>
  <si>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</si>
  <si>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</si>
  <si>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</si>
  <si>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</si>
  <si>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</si>
  <si>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</si>
  <si>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</si>
  <si>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</si>
  <si>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</si>
  <si>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</si>
  <si>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</si>
  <si>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</si>
  <si>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</si>
  <si>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</si>
  <si>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</si>
  <si>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</si>
  <si>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</si>
  <si>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</si>
  <si>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</si>
  <si>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</si>
  <si>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</si>
  <si>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</si>
  <si>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</si>
  <si>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</si>
  <si>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</si>
  <si>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</si>
  <si>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</si>
  <si>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</si>
  <si>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</si>
  <si>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</si>
  <si>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</si>
  <si>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</si>
  <si>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</si>
  <si>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</si>
  <si>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</si>
  <si>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</si>
  <si>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</si>
  <si>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</si>
  <si>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</si>
  <si>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</si>
  <si>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</si>
  <si>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</si>
  <si>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</si>
  <si>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</si>
  <si>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</si>
  <si>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</si>
  <si>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</si>
  <si>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</si>
  <si>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</si>
  <si>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</si>
  <si>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</si>
  <si>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</si>
  <si>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</si>
  <si>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</si>
  <si>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</si>
  <si>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</si>
  <si>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</si>
  <si>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</si>
  <si>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</si>
  <si>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</si>
  <si>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</si>
  <si>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</si>
  <si>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</si>
  <si>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</si>
  <si>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</si>
  <si>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</si>
  <si>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</si>
  <si>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</si>
  <si>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</si>
  <si>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</si>
  <si>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</si>
  <si>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</si>
  <si>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</si>
  <si>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</si>
  <si>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</si>
  <si>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</si>
  <si>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</si>
  <si>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</si>
  <si>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</si>
  <si>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</si>
  <si>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</si>
  <si>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</si>
  <si>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</si>
  <si>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</si>
  <si>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</si>
  <si>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</si>
  <si>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</si>
  <si>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</si>
  <si>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</si>
  <si>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</si>
  <si>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</si>
  <si>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</si>
  <si>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</si>
  <si>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</si>
  <si>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</si>
  <si>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</si>
  <si>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</si>
  <si>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</si>
  <si>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</si>
  <si>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</si>
  <si>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</si>
  <si>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</si>
  <si>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</si>
  <si>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</si>
  <si>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</si>
  <si>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</si>
  <si>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</si>
  <si>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</si>
  <si>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</si>
  <si>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</si>
  <si>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</si>
  <si>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</si>
  <si>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</si>
  <si>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</si>
  <si>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</si>
  <si>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</si>
  <si>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</si>
  <si>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</si>
  <si>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</si>
  <si>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</si>
  <si>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</si>
  <si>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</si>
  <si>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</si>
  <si>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</si>
  <si>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</si>
  <si>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</si>
  <si>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</si>
  <si>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</si>
  <si>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</si>
  <si>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</si>
  <si>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</si>
  <si>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</si>
  <si>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</si>
  <si>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</si>
  <si>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</si>
  <si>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</si>
  <si>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</si>
  <si>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</si>
  <si>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</si>
  <si>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</si>
  <si>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</si>
  <si>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</si>
  <si>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</si>
  <si>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</si>
  <si>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</si>
  <si>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</si>
  <si>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</si>
  <si>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</si>
  <si>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</si>
  <si>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</si>
  <si>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</si>
  <si>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</si>
  <si>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</si>
  <si>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</si>
  <si>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</si>
  <si>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</si>
  <si>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</si>
  <si>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</si>
  <si>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</si>
  <si>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</si>
  <si>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</si>
  <si>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</si>
  <si>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</si>
  <si>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</si>
  <si>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</si>
  <si>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</si>
  <si>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</si>
  <si>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</si>
  <si>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</si>
  <si>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</si>
  <si>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</si>
  <si>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</si>
  <si>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</si>
  <si>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</si>
  <si>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</si>
  <si>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</si>
  <si>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</si>
  <si>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</si>
  <si>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</si>
  <si>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</si>
  <si>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</si>
  <si>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</si>
  <si>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</si>
  <si>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</si>
  <si>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</si>
  <si>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</si>
  <si>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</si>
  <si>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</si>
  <si>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</si>
  <si>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</si>
  <si>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</si>
  <si>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</si>
  <si>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</si>
  <si>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</si>
  <si>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</si>
  <si>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</si>
  <si>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</si>
  <si>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</si>
  <si>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</si>
  <si>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</si>
  <si>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</si>
  <si>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</si>
  <si>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</si>
  <si>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</si>
  <si>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</si>
  <si>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</si>
  <si>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</si>
  <si>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</si>
  <si>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</si>
  <si>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</si>
  <si>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</si>
  <si>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</si>
  <si>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</si>
  <si>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</si>
  <si>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</si>
  <si>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</si>
  <si>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</si>
  <si>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</si>
  <si>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</si>
  <si>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</si>
  <si>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</si>
  <si>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</si>
  <si>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</si>
  <si>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</si>
  <si>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</si>
  <si>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</si>
  <si>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</si>
  <si>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</si>
  <si>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</si>
  <si>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</si>
  <si>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</si>
  <si>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</si>
  <si>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</si>
  <si>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</si>
  <si>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</si>
  <si>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</si>
  <si>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</si>
  <si>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</si>
  <si>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</si>
  <si>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</si>
  <si>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</si>
  <si>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</si>
  <si>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</si>
  <si>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</si>
  <si>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</si>
  <si>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</si>
  <si>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</si>
  <si>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</si>
  <si>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</si>
  <si>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</si>
  <si>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</si>
  <si>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</si>
  <si>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</si>
  <si>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</si>
  <si>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</si>
  <si>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</si>
  <si>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</si>
  <si>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</si>
  <si>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</si>
  <si>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</si>
  <si>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</si>
  <si>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</si>
  <si>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</si>
  <si>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</si>
  <si>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</si>
  <si>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</si>
  <si>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</si>
  <si>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</si>
  <si>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</si>
  <si>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</si>
  <si>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</si>
  <si>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</si>
  <si>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</si>
  <si>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</si>
  <si>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</si>
  <si>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</si>
  <si>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</si>
  <si>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</si>
  <si>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</si>
  <si>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</si>
  <si>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</si>
  <si>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</si>
  <si>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</si>
  <si>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</si>
  <si>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</si>
  <si>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</si>
  <si>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</si>
  <si>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</si>
  <si>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</si>
  <si>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</si>
  <si>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</si>
  <si>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</si>
  <si>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</si>
  <si>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</si>
  <si>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</si>
  <si>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</si>
  <si>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</si>
  <si>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</si>
  <si>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</si>
  <si>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</si>
  <si>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</si>
  <si>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</si>
  <si>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</si>
  <si>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</si>
  <si>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</si>
  <si>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</si>
  <si>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</si>
  <si>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</si>
  <si>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</si>
  <si>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</si>
  <si>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</si>
  <si>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</si>
  <si>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</si>
  <si>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</si>
  <si>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</si>
  <si>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</si>
  <si>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</si>
  <si>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</si>
  <si>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</si>
  <si>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</si>
  <si>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</si>
  <si>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</si>
  <si>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</si>
  <si>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</si>
  <si>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</si>
  <si>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</si>
  <si>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</si>
  <si>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</si>
  <si>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</si>
  <si>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</si>
  <si>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</si>
  <si>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</si>
  <si>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</si>
  <si>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</si>
  <si>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</si>
  <si>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</si>
  <si>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</si>
  <si>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</si>
  <si>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</si>
  <si>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</si>
  <si>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</si>
  <si>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</si>
  <si>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</si>
  <si>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</si>
  <si>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</si>
  <si>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</si>
  <si>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</si>
  <si>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</si>
  <si>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</si>
  <si>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</si>
  <si>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</si>
  <si>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</si>
  <si>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</si>
  <si>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</si>
  <si>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</si>
  <si>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</si>
  <si>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</si>
  <si>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</si>
  <si>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</si>
  <si>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</si>
  <si>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</si>
  <si>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</si>
  <si>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</si>
  <si>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</si>
  <si>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</si>
  <si>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</si>
  <si>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</si>
  <si>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</si>
  <si>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</si>
  <si>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</si>
  <si>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</si>
  <si>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</si>
  <si>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</si>
  <si>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</si>
  <si>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</si>
  <si>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</si>
  <si>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</si>
  <si>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</si>
  <si>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</si>
  <si>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</si>
  <si>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</si>
  <si>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</si>
  <si>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</si>
  <si>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</si>
  <si>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</si>
  <si>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</si>
  <si>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</si>
  <si>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</si>
  <si>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</si>
  <si>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</si>
  <si>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</si>
  <si>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</si>
  <si>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</si>
  <si>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</si>
  <si>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</si>
  <si>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</si>
  <si>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</si>
  <si>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</si>
  <si>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</si>
  <si>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</si>
  <si>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</si>
  <si>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</si>
  <si>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</si>
  <si>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</si>
  <si>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</si>
  <si>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</si>
  <si>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</si>
  <si>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</si>
  <si>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</si>
  <si>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</si>
  <si>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</si>
  <si>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</si>
  <si>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</si>
  <si>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</si>
  <si>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</si>
  <si>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</si>
  <si>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</si>
  <si>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</si>
  <si>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</si>
  <si>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</si>
  <si>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</si>
  <si>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</si>
  <si>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</si>
  <si>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</si>
  <si>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</si>
  <si>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</si>
  <si>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</si>
  <si>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</si>
  <si>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</si>
  <si>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</si>
  <si>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</si>
  <si>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</si>
  <si>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</si>
  <si>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</si>
  <si>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</si>
  <si>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</si>
  <si>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</si>
  <si>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</si>
  <si>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</si>
  <si>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</si>
  <si>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</si>
  <si>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</si>
  <si>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</si>
  <si>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</si>
  <si>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</si>
  <si>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</si>
  <si>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</si>
  <si>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</si>
  <si>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</si>
  <si>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</si>
  <si>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</si>
  <si>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</si>
  <si>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</si>
  <si>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</si>
  <si>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</si>
  <si>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</si>
  <si>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</si>
  <si>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</si>
  <si>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</si>
  <si>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</si>
  <si>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</si>
  <si>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</si>
  <si>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</si>
  <si>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</si>
  <si>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</si>
  <si>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</si>
  <si>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</si>
  <si>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</si>
  <si>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</si>
  <si>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</si>
  <si>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</si>
  <si>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</si>
  <si>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</si>
  <si>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</si>
  <si>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</si>
  <si>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</si>
  <si>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</si>
  <si>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</si>
  <si>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</si>
  <si>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</si>
  <si>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</si>
  <si>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</si>
  <si>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</si>
  <si>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</si>
  <si>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</si>
  <si>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</si>
  <si>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</si>
  <si>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</si>
  <si>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</si>
  <si>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</si>
  <si>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</si>
  <si>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</si>
  <si>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</si>
  <si>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</si>
  <si>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</si>
  <si>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</si>
  <si>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</si>
  <si>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</si>
  <si>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</si>
  <si>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</si>
  <si>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</si>
  <si>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</si>
  <si>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</si>
  <si>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</si>
  <si>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</si>
  <si>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</si>
  <si>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</si>
  <si>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</si>
  <si>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</si>
  <si>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</si>
  <si>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</si>
  <si>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</si>
  <si>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</si>
  <si>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</si>
  <si>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</si>
  <si>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</si>
  <si>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</si>
  <si>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</si>
  <si>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</si>
  <si>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</si>
  <si>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</si>
  <si>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</si>
  <si>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</si>
  <si>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</si>
  <si>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</si>
  <si>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</si>
  <si>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</si>
  <si>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</si>
  <si>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</si>
  <si>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</si>
  <si>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</si>
  <si>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</si>
  <si>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</si>
  <si>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</si>
  <si>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</si>
  <si>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</si>
  <si>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</si>
  <si>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</si>
  <si>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</si>
  <si>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</si>
  <si>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</si>
  <si>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</si>
  <si>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</si>
  <si>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</si>
  <si>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</si>
  <si>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</si>
  <si>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</si>
  <si>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</si>
  <si>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</si>
  <si>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</si>
  <si>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</si>
  <si>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</si>
  <si>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</si>
  <si>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</si>
  <si>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</si>
  <si>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</si>
  <si>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</si>
  <si>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</si>
  <si>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</si>
  <si>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</si>
  <si>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</si>
  <si>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</si>
  <si>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</si>
  <si>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</si>
  <si>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</si>
  <si>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</si>
  <si>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</si>
  <si>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</si>
  <si>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</si>
  <si>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</si>
  <si>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</si>
  <si>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</si>
  <si>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</si>
  <si>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</si>
  <si>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</si>
  <si>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</si>
  <si>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</si>
  <si>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</si>
  <si>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</si>
  <si>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</si>
  <si>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</si>
  <si>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</si>
  <si>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</si>
  <si>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</si>
  <si>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</si>
  <si>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</si>
  <si>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</si>
  <si>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</si>
  <si>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</si>
  <si>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</si>
  <si>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</si>
  <si>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</si>
  <si>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</si>
  <si>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</si>
  <si>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</si>
  <si>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</si>
  <si>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</si>
  <si>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</si>
  <si>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</si>
  <si>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</si>
  <si>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</si>
  <si>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</si>
  <si>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</si>
  <si>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</si>
  <si>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</si>
  <si>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</si>
  <si>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</si>
  <si>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</si>
  <si>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</si>
  <si>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</si>
  <si>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</si>
  <si>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</si>
  <si>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</si>
  <si>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</si>
  <si>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</si>
  <si>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</si>
  <si>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</si>
  <si>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</si>
  <si>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</si>
  <si>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</si>
  <si>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</si>
  <si>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</si>
  <si>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</si>
  <si>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</si>
  <si>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</si>
  <si>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</si>
  <si>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</si>
  <si>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</si>
  <si>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</si>
  <si>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</si>
  <si>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</si>
  <si>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</si>
  <si>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</si>
  <si>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</si>
  <si>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</si>
  <si>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</si>
  <si>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</si>
  <si>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</si>
  <si>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</si>
  <si>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</si>
  <si>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</si>
  <si>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</si>
  <si>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</si>
  <si>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</si>
  <si>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</si>
  <si>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</si>
  <si>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</si>
  <si>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</si>
  <si>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</si>
  <si>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</si>
  <si>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</si>
  <si>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</si>
  <si>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</si>
  <si>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</si>
  <si>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</si>
  <si>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</si>
  <si>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</si>
  <si>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</si>
  <si>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</si>
  <si>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</si>
  <si>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</si>
  <si>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</si>
  <si>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</si>
  <si>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</si>
  <si>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</si>
  <si>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</si>
  <si>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</si>
  <si>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</si>
  <si>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</si>
  <si>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</si>
  <si>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</si>
  <si>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</si>
  <si>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</si>
  <si>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</si>
  <si>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</si>
  <si>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</si>
  <si>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</si>
  <si>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</si>
  <si>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</si>
  <si>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</si>
  <si>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</si>
  <si>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</si>
  <si>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</si>
  <si>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</si>
  <si>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</si>
  <si>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</si>
  <si>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</si>
  <si>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</si>
  <si>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</si>
  <si>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</si>
  <si>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</si>
  <si>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</si>
  <si>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</si>
  <si>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</si>
  <si>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</si>
  <si>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</si>
  <si>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</si>
  <si>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</si>
  <si>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</si>
  <si>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</si>
  <si>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</si>
  <si>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</si>
  <si>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</si>
  <si>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</si>
  <si>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</si>
  <si>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</si>
  <si>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</si>
  <si>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</si>
  <si>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</si>
  <si>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</si>
  <si>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</si>
  <si>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</si>
  <si>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</si>
  <si>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</si>
  <si>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</si>
  <si>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</si>
  <si>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</si>
  <si>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</si>
  <si>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</si>
  <si>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</si>
  <si>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</si>
  <si>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</si>
  <si>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</si>
  <si>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</si>
  <si>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</si>
  <si>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</si>
  <si>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</si>
  <si>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</si>
  <si>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</si>
  <si>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</si>
  <si>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</si>
  <si>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</si>
  <si>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</si>
  <si>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</si>
  <si>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</si>
  <si>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</si>
  <si>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</si>
  <si>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</si>
  <si>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</si>
  <si>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</si>
  <si>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</si>
  <si>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</si>
  <si>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</si>
  <si>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</si>
  <si>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</si>
  <si>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</si>
  <si>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</si>
  <si>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</si>
  <si>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</si>
  <si>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</si>
  <si>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</si>
  <si>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</si>
  <si>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</si>
  <si>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</si>
  <si>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</si>
  <si>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</si>
  <si>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</si>
  <si>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</si>
  <si>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</si>
  <si>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</si>
  <si>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</si>
  <si>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</si>
  <si>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</si>
  <si>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</si>
  <si>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</si>
  <si>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</si>
  <si>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</si>
  <si>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</si>
  <si>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</si>
  <si>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</si>
  <si>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</si>
  <si>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</si>
  <si>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</si>
  <si>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</si>
  <si>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</si>
  <si>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</si>
  <si>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</si>
  <si>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</si>
  <si>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</si>
  <si>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</si>
  <si>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</si>
  <si>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</si>
  <si>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</si>
  <si>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</si>
  <si>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</si>
  <si>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</si>
  <si>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</si>
  <si>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</si>
  <si>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</si>
  <si>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</si>
  <si>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</si>
  <si>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</si>
  <si>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</si>
  <si>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</si>
  <si>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</si>
  <si>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</si>
  <si>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</si>
  <si>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</si>
  <si>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</si>
  <si>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</si>
  <si>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</si>
  <si>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</si>
  <si>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</si>
  <si>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</si>
  <si>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</si>
  <si>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</si>
  <si>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</si>
  <si>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</si>
  <si>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</si>
  <si>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</si>
  <si>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</si>
  <si>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</si>
  <si>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</si>
  <si>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</si>
  <si>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</si>
  <si>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</si>
  <si>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</si>
  <si>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</si>
  <si>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</si>
  <si>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</si>
  <si>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</si>
  <si>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</si>
  <si>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 xml:space="preserve">High Distinctivness Deficit to be offset by trading up </t>
  </si>
  <si>
    <t>Higher Distinctiveness surplus units minus any high distinctivness deficit</t>
  </si>
  <si>
    <t>Rocky_shore</t>
  </si>
  <si>
    <t>Coastal_saltmarsh</t>
  </si>
  <si>
    <t>Rochdale Borough Council</t>
  </si>
  <si>
    <t>Broadfield Park Slopes (‘The Slopes’), The Esplanade, Rochdale, OL16 1AQ</t>
  </si>
  <si>
    <t>Rochdale Development Agency</t>
  </si>
  <si>
    <t xml:space="preserve">	23/01394/LBC</t>
  </si>
  <si>
    <t>Full</t>
  </si>
  <si>
    <t>Anthony Nickson</t>
  </si>
  <si>
    <t>Specified and managed to meet ‘good’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</si>
</sst>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8">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2" fontId="69" fillId="11" borderId="0" xfId="0" applyNumberFormat="1" applyFont="1" applyFill="1"/>
    <xf numFmtId="0" fontId="69" fillId="11" borderId="0" xfId="0" applyFont="1" applyFill="1" applyAlignment="1">
      <alignment horizontal="left" vertical="center"/>
    </xf>
    <xf numFmtId="0" fontId="51" fillId="11" borderId="0" xfId="0" applyFont="1" applyFill="1" applyAlignment="1">
      <alignment horizontal="center" vertical="center" wrapText="1"/>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6" fillId="10" borderId="23" xfId="0" applyFont="1" applyFill="1" applyBorder="1" applyAlignment="1">
      <alignment horizontal="left" vertical="center"/>
    </xf>
    <xf numFmtId="0" fontId="16" fillId="10" borderId="46" xfId="0" applyFont="1" applyFill="1" applyBorder="1" applyAlignment="1">
      <alignment horizontal="left" vertical="center"/>
    </xf>
    <xf numFmtId="0" fontId="16" fillId="10" borderId="23"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4" xfId="0" applyFont="1" applyFill="1" applyBorder="1" applyAlignment="1">
      <alignment horizontal="left" vertical="center" wrapText="1"/>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0" fontId="16" fillId="10" borderId="24" xfId="0" applyFont="1" applyFill="1" applyBorder="1" applyAlignment="1">
      <alignment horizontal="left" vertical="center"/>
    </xf>
    <xf numFmtId="0" fontId="13" fillId="0" borderId="4" xfId="0" applyFont="1" applyBorder="1" applyAlignment="1" applyProtection="1">
      <alignment horizontal="center" vertical="center" wrapText="1"/>
      <protection locked="0"/>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13" fillId="10" borderId="23" xfId="0" applyFont="1" applyFill="1" applyBorder="1" applyAlignment="1">
      <alignment horizontal="center"/>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6" fillId="10" borderId="10" xfId="0" applyFont="1" applyFill="1" applyBorder="1" applyAlignment="1">
      <alignment horizontal="left" vertical="center" wrapText="1"/>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wrapText="1"/>
      <protection locked="0"/>
    </xf>
    <xf numFmtId="1" fontId="16" fillId="3" borderId="10" xfId="0" applyNumberFormat="1" applyFont="1" applyFill="1" applyBorder="1" applyAlignment="1" applyProtection="1">
      <alignment horizontal="center" vertical="center"/>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18"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73"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0" fontId="16" fillId="11" borderId="0" xfId="0" applyFont="1" applyFill="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37" xfId="0" applyFont="1" applyFill="1" applyBorder="1" applyAlignment="1">
      <alignment horizontal="center" vertical="center" wrapText="1"/>
    </xf>
    <xf numFmtId="0" fontId="27" fillId="11" borderId="0" xfId="0" applyFont="1" applyFill="1" applyAlignment="1">
      <alignment horizontal="center"/>
    </xf>
    <xf numFmtId="0" fontId="16" fillId="5" borderId="54"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20" borderId="66" xfId="0" applyFont="1" applyFill="1" applyBorder="1" applyAlignment="1">
      <alignment horizontal="center" vertical="center"/>
    </xf>
    <xf numFmtId="0" fontId="10" fillId="20" borderId="42" xfId="0" applyFont="1" applyFill="1" applyBorder="1" applyAlignment="1">
      <alignment horizontal="center" vertical="center"/>
    </xf>
    <xf numFmtId="0" fontId="46" fillId="5" borderId="54" xfId="0" applyFont="1" applyFill="1" applyBorder="1" applyAlignment="1">
      <alignment horizontal="center"/>
    </xf>
    <xf numFmtId="0" fontId="10" fillId="5" borderId="8" xfId="0" applyFont="1" applyFill="1" applyBorder="1" applyAlignment="1">
      <alignment horizontal="center" vertical="center" wrapText="1"/>
    </xf>
    <xf numFmtId="0" fontId="10" fillId="20" borderId="52" xfId="0" applyFont="1" applyFill="1" applyBorder="1" applyAlignment="1">
      <alignment horizontal="center" vertical="center"/>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1" fontId="10" fillId="20" borderId="38" xfId="0" applyNumberFormat="1" applyFont="1" applyFill="1" applyBorder="1" applyAlignment="1">
      <alignment horizontal="center" vertical="center"/>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2" fontId="10" fillId="20" borderId="17" xfId="0" applyNumberFormat="1" applyFont="1" applyFill="1" applyBorder="1" applyAlignment="1">
      <alignment horizontal="center"/>
    </xf>
    <xf numFmtId="2" fontId="10" fillId="20" borderId="19" xfId="0" applyNumberFormat="1" applyFont="1" applyFill="1" applyBorder="1" applyAlignment="1">
      <alignment horizontal="center"/>
    </xf>
    <xf numFmtId="2" fontId="10" fillId="20" borderId="18" xfId="0" applyNumberFormat="1" applyFont="1" applyFill="1" applyBorder="1" applyAlignment="1">
      <alignment horizontal="center"/>
    </xf>
    <xf numFmtId="2" fontId="10" fillId="20" borderId="22" xfId="0" applyNumberFormat="1"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1" fillId="5" borderId="30" xfId="0" applyFont="1" applyFill="1" applyBorder="1" applyAlignment="1">
      <alignment horizontal="center"/>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0" fontId="11" fillId="11" borderId="0" xfId="0" applyFont="1" applyFill="1" applyAlignment="1">
      <alignment horizontal="left"/>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14" fillId="9" borderId="0" xfId="0" applyFont="1" applyFill="1" applyAlignment="1">
      <alignment horizontal="center"/>
    </xf>
    <xf numFmtId="0" fontId="35" fillId="10" borderId="17"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0" xfId="0" applyFont="1" applyFill="1" applyAlignment="1">
      <alignment horizont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5" borderId="40" xfId="0" applyFont="1" applyFill="1" applyBorder="1" applyAlignment="1">
      <alignment horizontal="center" vertical="center" wrapText="1"/>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52" fillId="11" borderId="0" xfId="0" applyFont="1" applyFill="1" applyAlignment="1">
      <alignment horizontal="center" vertical="center" wrapText="1"/>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7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ont>
        <color auto="1"/>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auto="1"/>
      </font>
      <fill>
        <patternFill>
          <bgColor theme="6" tint="-0.24994659260841701"/>
        </patternFill>
      </fill>
    </dxf>
    <dxf>
      <fill>
        <patternFill>
          <bgColor theme="6"/>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92D050"/>
        </patternFill>
      </fill>
    </dxf>
    <dxf>
      <font>
        <color theme="0"/>
      </font>
      <fill>
        <patternFill>
          <bgColor rgb="FFC0000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theme="8" tint="0.59996337778862885"/>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b/>
        <i val="0"/>
        <color rgb="FF383745"/>
      </font>
      <fill>
        <patternFill>
          <bgColor rgb="FFFFC000"/>
        </patternFill>
      </fill>
    </dxf>
    <dxf>
      <font>
        <color theme="0"/>
      </font>
      <fill>
        <patternFill>
          <bgColor rgb="FFCB0000"/>
        </patternFill>
      </fill>
    </dxf>
    <dxf>
      <fill>
        <patternFill>
          <bgColor rgb="FFFF0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0000"/>
        </patternFill>
      </fill>
    </dxf>
    <dxf>
      <fill>
        <patternFill>
          <bgColor rgb="FFFF0000"/>
        </patternFill>
      </fill>
    </dxf>
    <dxf>
      <fill>
        <patternFill>
          <bgColor rgb="FFFFC000"/>
        </patternFill>
      </fill>
    </dxf>
    <dxf>
      <font>
        <b/>
        <i val="0"/>
      </font>
      <fill>
        <patternFill>
          <bgColor rgb="FFFFC000"/>
        </patternFill>
      </fill>
    </dxf>
    <dxf>
      <fill>
        <patternFill>
          <bgColor rgb="FFFFC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ill>
        <patternFill>
          <bgColor rgb="FFFFC000"/>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383745"/>
      </font>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ill>
        <patternFill>
          <bgColor rgb="FFFFC000"/>
        </patternFill>
      </fill>
    </dxf>
    <dxf>
      <font>
        <color theme="0"/>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6"/>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C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383745"/>
      </font>
      <fill>
        <patternFill>
          <bgColor rgb="FFFFC000"/>
        </patternFill>
      </fill>
    </dxf>
    <dxf>
      <font>
        <b/>
        <i val="0"/>
        <color rgb="FFFFFFFF"/>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FFFFFF"/>
      </font>
      <fill>
        <patternFill>
          <bgColor rgb="FFCB0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auto="1"/>
      </font>
      <fill>
        <patternFill>
          <bgColor rgb="FFFFC000"/>
        </patternFill>
      </fill>
    </dxf>
    <dxf>
      <font>
        <color rgb="FF383745"/>
      </font>
      <fill>
        <patternFill>
          <bgColor rgb="FFFFC000"/>
        </patternFill>
      </fill>
    </dxf>
    <dxf>
      <font>
        <color rgb="FFFFFFFF"/>
      </font>
      <fill>
        <patternFill>
          <bgColor rgb="FFCB0000"/>
        </patternFill>
      </fill>
    </dxf>
    <dxf>
      <font>
        <color auto="1"/>
      </font>
      <fill>
        <patternFill>
          <bgColor rgb="FFE0DCD3"/>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b/>
        <i val="0"/>
        <u val="none"/>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C000"/>
        </patternFill>
      </fill>
    </dxf>
    <dxf>
      <font>
        <u val="none"/>
        <color auto="1"/>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C00000"/>
        </patternFill>
      </fill>
    </dxf>
    <dxf>
      <fill>
        <patternFill>
          <bgColor rgb="FFFFC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ill>
        <patternFill>
          <bgColor theme="4" tint="0.59996337778862885"/>
        </patternFill>
      </fill>
    </dxf>
    <dxf>
      <fill>
        <patternFill>
          <bgColor theme="7" tint="0.39994506668294322"/>
        </patternFill>
      </fill>
    </dxf>
    <dxf>
      <fill>
        <patternFill>
          <bgColor theme="5"/>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rgb="FFFFC000"/>
        </patternFill>
      </fill>
    </dxf>
    <dxf>
      <fill>
        <patternFill>
          <bgColor rgb="FFFFC000"/>
        </patternFill>
      </fill>
    </dxf>
    <dxf>
      <fill>
        <patternFill>
          <bgColor theme="1"/>
        </patternFill>
      </fill>
    </dxf>
    <dxf>
      <fill>
        <patternFill>
          <bgColor rgb="FF92D05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ill>
        <patternFill>
          <bgColor rgb="FFFFC000"/>
        </patternFill>
      </fill>
    </dxf>
    <dxf>
      <font>
        <color rgb="FF000000"/>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ont>
        <color auto="1"/>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000000"/>
      <color rgb="FFABC3C9"/>
      <color rgb="FFFFFF99"/>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57"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0.12839999999999999</c:v>
                </c:pt>
                <c:pt idx="1">
                  <c:v>0</c:v>
                </c:pt>
                <c:pt idx="2">
                  <c:v>0.41009999999999996</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2.4622199999999999</c:v>
                </c:pt>
                <c:pt idx="1">
                  <c:v>0</c:v>
                </c:pt>
                <c:pt idx="2">
                  <c:v>6.2335000000000003</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0.121</c:v>
                </c:pt>
                <c:pt idx="2">
                  <c:v>0</c:v>
                </c:pt>
                <c:pt idx="3">
                  <c:v>4.4999999999999997E-3</c:v>
                </c:pt>
                <c:pt idx="4">
                  <c:v>0</c:v>
                </c:pt>
                <c:pt idx="5">
                  <c:v>4.8600000000000004E-2</c:v>
                </c:pt>
                <c:pt idx="6">
                  <c:v>0</c:v>
                </c:pt>
                <c:pt idx="7">
                  <c:v>0.3644</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0.27549999999999997</c:v>
                </c:pt>
                <c:pt idx="2">
                  <c:v>0</c:v>
                </c:pt>
                <c:pt idx="3">
                  <c:v>8.5000000000000006E-3</c:v>
                </c:pt>
                <c:pt idx="4">
                  <c:v>0</c:v>
                </c:pt>
                <c:pt idx="5">
                  <c:v>0.13059999999999999</c:v>
                </c:pt>
                <c:pt idx="6">
                  <c:v>0</c:v>
                </c:pt>
                <c:pt idx="7">
                  <c:v>0.1239</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0.15449999999999997</c:v>
                </c:pt>
                <c:pt idx="2">
                  <c:v>0</c:v>
                </c:pt>
                <c:pt idx="3">
                  <c:v>4.000000000000001E-3</c:v>
                </c:pt>
                <c:pt idx="4">
                  <c:v>0</c:v>
                </c:pt>
                <c:pt idx="5">
                  <c:v>8.199999999999999E-2</c:v>
                </c:pt>
                <c:pt idx="6">
                  <c:v>0</c:v>
                </c:pt>
                <c:pt idx="7">
                  <c:v>-0.24049999999999999</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1.452</c:v>
                </c:pt>
                <c:pt idx="2">
                  <c:v>0</c:v>
                </c:pt>
                <c:pt idx="3">
                  <c:v>8.9999999999999993E-3</c:v>
                </c:pt>
                <c:pt idx="4">
                  <c:v>0</c:v>
                </c:pt>
                <c:pt idx="5">
                  <c:v>1.9599999999999999E-2</c:v>
                </c:pt>
                <c:pt idx="6">
                  <c:v>0</c:v>
                </c:pt>
                <c:pt idx="7">
                  <c:v>7.2151200000000006</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1.77983081865648</c:v>
                </c:pt>
                <c:pt idx="2">
                  <c:v>0</c:v>
                </c:pt>
                <c:pt idx="3">
                  <c:v>2.444E-2</c:v>
                </c:pt>
                <c:pt idx="4">
                  <c:v>0</c:v>
                </c:pt>
                <c:pt idx="5">
                  <c:v>8.2603999999999997E-2</c:v>
                </c:pt>
                <c:pt idx="6">
                  <c:v>0</c:v>
                </c:pt>
                <c:pt idx="7">
                  <c:v>2.45322</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0.32783081865648001</c:v>
                </c:pt>
                <c:pt idx="2">
                  <c:v>0</c:v>
                </c:pt>
                <c:pt idx="3">
                  <c:v>1.5440000000000001E-2</c:v>
                </c:pt>
                <c:pt idx="4">
                  <c:v>0</c:v>
                </c:pt>
                <c:pt idx="5">
                  <c:v>6.3004000000000004E-2</c:v>
                </c:pt>
                <c:pt idx="6">
                  <c:v>0</c:v>
                </c:pt>
                <c:pt idx="7">
                  <c:v>-4.7619000000000007</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0.24049999999999999</c:v>
                </c:pt>
                <c:pt idx="2">
                  <c:v>0.121</c:v>
                </c:pt>
                <c:pt idx="3">
                  <c:v>9.7999999999999997E-3</c:v>
                </c:pt>
                <c:pt idx="4">
                  <c:v>3.8800000000000001E-2</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586740</xdr:colOff>
          <xdr:row>11</xdr:row>
          <xdr:rowOff>167640</xdr:rowOff>
        </xdr:from>
        <xdr:to>
          <xdr:col>15</xdr:col>
          <xdr:colOff>182880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106873" y="1608456"/>
          <a:ext cx="712787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05459"/>
          <a:ext cx="7026275" cy="765746"/>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5730" y="839641"/>
          <a:ext cx="6887051" cy="986302"/>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83920"/>
          <a:ext cx="5631180" cy="76226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9640"/>
          <a:ext cx="6905625" cy="77750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49655"/>
          <a:ext cx="6210300" cy="9260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544"/>
          <a:ext cx="5875655" cy="75273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53440"/>
          <a:ext cx="5454015" cy="44603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65835"/>
          <a:ext cx="6061709" cy="75845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0025" y="1003935"/>
          <a:ext cx="4975859"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81000" y="899160"/>
          <a:ext cx="5093970" cy="5736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22020"/>
          <a:ext cx="6136005" cy="75845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13360" y="1009650"/>
          <a:ext cx="4280535" cy="766071"/>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894117" cy="77784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90500" y="788670"/>
          <a:ext cx="5236845" cy="76607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15621" y="1195859"/>
          <a:ext cx="5424435"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3415" y="892174"/>
          <a:ext cx="5213350" cy="7739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1075"/>
          <a:ext cx="4764405" cy="75464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8838"/>
          <a:ext cx="4452885" cy="74436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P8" sqref="P8"/>
    </sheetView>
  </sheetViews>
  <sheetFormatPr defaultColWidth="9.21875" defaultRowHeight="14.55" customHeight="1" zeroHeight="1" x14ac:dyDescent="0.3"/>
  <cols>
    <col min="1" max="2" width="9.21875" style="9" customWidth="1"/>
    <col min="3" max="3" width="7" style="9" customWidth="1"/>
    <col min="4" max="6" width="9.21875" style="9" customWidth="1"/>
    <col min="7" max="7" width="12.21875" style="9" customWidth="1"/>
    <col min="8" max="8" width="5.77734375" style="9" customWidth="1"/>
    <col min="9" max="9" width="9.21875" style="9" customWidth="1"/>
    <col min="10" max="10" width="34.5546875" style="9" customWidth="1"/>
    <col min="11" max="11" width="13.77734375" style="9" bestFit="1" customWidth="1"/>
    <col min="12" max="12" width="19.21875" style="9" customWidth="1"/>
    <col min="13" max="14" width="9.21875" style="9" customWidth="1"/>
    <col min="15" max="16384" width="9.218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ht="14.4" x14ac:dyDescent="0.3"/>
    <row r="557" ht="14.4" x14ac:dyDescent="0.3"/>
    <row r="558" ht="14.4" x14ac:dyDescent="0.3"/>
    <row r="559" ht="14.4" x14ac:dyDescent="0.3"/>
    <row r="560" ht="14.4" x14ac:dyDescent="0.3"/>
    <row r="561" ht="14.4" x14ac:dyDescent="0.3"/>
    <row r="562" ht="14.4" x14ac:dyDescent="0.3"/>
    <row r="563" ht="14.4" x14ac:dyDescent="0.3"/>
    <row r="564" ht="14.4" x14ac:dyDescent="0.3"/>
    <row r="565" ht="14.4" x14ac:dyDescent="0.3"/>
    <row r="566" ht="14.4" x14ac:dyDescent="0.3"/>
    <row r="567" ht="14.4" x14ac:dyDescent="0.3"/>
    <row r="568" ht="14.4" x14ac:dyDescent="0.3"/>
    <row r="569" ht="14.4" x14ac:dyDescent="0.3"/>
    <row r="570" ht="14.4" x14ac:dyDescent="0.3"/>
    <row r="571" ht="14.4" x14ac:dyDescent="0.3"/>
    <row r="572" ht="14.4" x14ac:dyDescent="0.3"/>
    <row r="573" ht="14.4" x14ac:dyDescent="0.3"/>
    <row r="574" ht="14.4" x14ac:dyDescent="0.3"/>
    <row r="575" ht="14.4" x14ac:dyDescent="0.3"/>
    <row r="576" ht="14.4" x14ac:dyDescent="0.3"/>
    <row r="577" ht="14.4" x14ac:dyDescent="0.3"/>
    <row r="578" ht="14.4" x14ac:dyDescent="0.3"/>
    <row r="579" ht="14.4" x14ac:dyDescent="0.3"/>
    <row r="580" ht="14.4" x14ac:dyDescent="0.3"/>
    <row r="581" ht="14.4" x14ac:dyDescent="0.3"/>
    <row r="583" ht="14.55" customHeight="1" x14ac:dyDescent="0.3"/>
    <row r="584" ht="14.55" customHeight="1" x14ac:dyDescent="0.3"/>
    <row r="585" ht="14.55" customHeight="1" x14ac:dyDescent="0.3"/>
    <row r="586" ht="14.55" customHeight="1" x14ac:dyDescent="0.3"/>
    <row r="587" ht="14.55" customHeight="1" x14ac:dyDescent="0.3"/>
    <row r="588" ht="14.55" customHeight="1" x14ac:dyDescent="0.3"/>
    <row r="589" ht="14.55" customHeight="1" x14ac:dyDescent="0.3"/>
    <row r="590" ht="14.55" customHeight="1" x14ac:dyDescent="0.3"/>
    <row r="591" ht="14.55" customHeight="1" x14ac:dyDescent="0.3"/>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opLeftCell="A20" zoomScale="80" zoomScaleNormal="80" workbookViewId="0">
      <selection activeCell="F18" sqref="F18:J18"/>
    </sheetView>
  </sheetViews>
  <sheetFormatPr defaultColWidth="0" defaultRowHeight="0" customHeight="1" zeroHeight="1" x14ac:dyDescent="0.25"/>
  <cols>
    <col min="1" max="2" width="2.21875" style="11" customWidth="1"/>
    <col min="3" max="3" width="3" style="11" customWidth="1"/>
    <col min="4" max="4" width="10.5546875" style="11" customWidth="1"/>
    <col min="5" max="5" width="33.77734375" style="11" customWidth="1"/>
    <col min="6" max="6" width="14.77734375" style="11" customWidth="1"/>
    <col min="7" max="7" width="9.21875" style="11" customWidth="1"/>
    <col min="8" max="8" width="7.77734375" style="11" customWidth="1"/>
    <col min="9" max="9" width="35.21875" style="11" customWidth="1"/>
    <col min="10" max="10" width="16.44140625" style="11" customWidth="1"/>
    <col min="11" max="11" width="2.77734375" style="11" customWidth="1"/>
    <col min="12" max="12" width="1.5546875" style="11" customWidth="1"/>
    <col min="13" max="14" width="4.21875" style="11" customWidth="1"/>
    <col min="15" max="15" width="5.77734375" style="11" customWidth="1"/>
    <col min="16" max="16" width="9.21875" style="11" customWidth="1"/>
    <col min="17" max="17" width="34.5546875" style="11" customWidth="1"/>
    <col min="18" max="18" width="13.77734375" style="11" bestFit="1" customWidth="1"/>
    <col min="19" max="19" width="19.21875" style="11" customWidth="1"/>
    <col min="20" max="28" width="9.21875" style="11" customWidth="1"/>
    <col min="29" max="29" width="0" style="11" hidden="1" customWidth="1"/>
    <col min="30" max="16384" width="9.21875" style="11" hidden="1"/>
  </cols>
  <sheetData>
    <row r="1" spans="1:19" ht="15.6" customHeight="1" x14ac:dyDescent="0.5">
      <c r="B1" s="12"/>
      <c r="C1" s="12"/>
      <c r="E1" s="13"/>
      <c r="F1" s="926"/>
      <c r="G1" s="926"/>
      <c r="H1" s="926"/>
      <c r="I1" s="926"/>
      <c r="J1" s="926"/>
      <c r="K1" s="927"/>
      <c r="L1" s="927"/>
      <c r="M1" s="927"/>
      <c r="N1" s="927"/>
      <c r="O1" s="927"/>
      <c r="P1" s="927"/>
    </row>
    <row r="2" spans="1:19" ht="15.75" customHeight="1" x14ac:dyDescent="0.5">
      <c r="B2" s="12"/>
      <c r="C2" s="12"/>
      <c r="E2" s="13"/>
    </row>
    <row r="3" spans="1:19" ht="15.75" customHeight="1" x14ac:dyDescent="0.5">
      <c r="A3" s="13"/>
      <c r="B3" s="13"/>
      <c r="C3" s="13"/>
      <c r="D3" s="13"/>
      <c r="E3" s="13"/>
      <c r="F3" s="928"/>
      <c r="G3" s="928"/>
      <c r="H3" s="928"/>
      <c r="I3" s="928"/>
      <c r="J3" s="928"/>
      <c r="K3" s="928"/>
      <c r="L3" s="928"/>
      <c r="M3" s="928"/>
      <c r="N3" s="928"/>
      <c r="O3" s="928"/>
      <c r="P3" s="928"/>
      <c r="Q3" s="928"/>
    </row>
    <row r="4" spans="1:19" ht="16.5" customHeight="1" x14ac:dyDescent="0.5">
      <c r="A4" s="13"/>
      <c r="B4" s="13"/>
      <c r="C4" s="13"/>
      <c r="D4" s="13"/>
      <c r="E4" s="13"/>
      <c r="F4" s="928"/>
      <c r="G4" s="928"/>
      <c r="H4" s="928"/>
      <c r="I4" s="928"/>
      <c r="J4" s="928"/>
      <c r="K4" s="928"/>
      <c r="L4" s="928"/>
      <c r="M4" s="928"/>
      <c r="N4" s="928"/>
      <c r="O4" s="928"/>
      <c r="P4" s="928"/>
      <c r="Q4" s="928"/>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55" customHeight="1" thickBot="1" x14ac:dyDescent="0.55000000000000004">
      <c r="B8" s="12"/>
      <c r="C8" s="12"/>
      <c r="D8" s="702">
        <v>4</v>
      </c>
      <c r="E8" s="933"/>
      <c r="F8" s="933"/>
      <c r="G8" s="933"/>
      <c r="H8" s="933"/>
      <c r="I8" s="933"/>
      <c r="J8" s="933"/>
      <c r="K8" s="14"/>
      <c r="L8" s="14"/>
      <c r="M8" s="14"/>
      <c r="N8" s="14"/>
      <c r="O8" s="14"/>
      <c r="P8" s="14"/>
      <c r="Q8" s="14"/>
      <c r="R8" s="14"/>
      <c r="S8" s="14"/>
    </row>
    <row r="9" spans="1:19" ht="23.55" customHeight="1" x14ac:dyDescent="0.25">
      <c r="B9" s="12"/>
      <c r="D9" s="934" t="s">
        <v>0</v>
      </c>
      <c r="E9" s="935"/>
      <c r="F9" s="935"/>
      <c r="G9" s="935"/>
      <c r="H9" s="935"/>
      <c r="I9" s="935"/>
      <c r="J9" s="936"/>
      <c r="K9" s="14"/>
      <c r="L9" s="14"/>
      <c r="M9" s="14"/>
      <c r="N9" s="14"/>
      <c r="O9" s="14"/>
      <c r="P9" s="14"/>
      <c r="Q9" s="14"/>
      <c r="R9" s="14"/>
      <c r="S9" s="14"/>
    </row>
    <row r="10" spans="1:19" ht="21.6" customHeight="1" thickBot="1" x14ac:dyDescent="0.3">
      <c r="B10" s="12"/>
      <c r="D10" s="937"/>
      <c r="E10" s="938"/>
      <c r="F10" s="938"/>
      <c r="G10" s="938"/>
      <c r="H10" s="938"/>
      <c r="I10" s="938"/>
      <c r="J10" s="939"/>
      <c r="K10" s="14"/>
      <c r="L10" s="14"/>
      <c r="M10" s="14"/>
      <c r="N10" s="14"/>
      <c r="P10" s="14"/>
      <c r="Q10" s="14"/>
      <c r="R10" s="14"/>
    </row>
    <row r="11" spans="1:19" ht="25.95" customHeight="1" x14ac:dyDescent="0.25">
      <c r="B11" s="12"/>
      <c r="D11" s="929" t="s">
        <v>1</v>
      </c>
      <c r="E11" s="930"/>
      <c r="F11" s="931" t="s">
        <v>1685</v>
      </c>
      <c r="G11" s="931"/>
      <c r="H11" s="931"/>
      <c r="I11" s="931"/>
      <c r="J11" s="932"/>
      <c r="K11" s="14"/>
      <c r="L11" s="14"/>
      <c r="M11" s="14"/>
      <c r="N11" s="14"/>
      <c r="P11" s="14"/>
      <c r="Q11" s="14"/>
      <c r="R11" s="14"/>
    </row>
    <row r="12" spans="1:19" ht="24" customHeight="1" x14ac:dyDescent="0.25">
      <c r="B12" s="12"/>
      <c r="D12" s="918" t="s">
        <v>2</v>
      </c>
      <c r="E12" s="919"/>
      <c r="F12" s="922" t="s">
        <v>1686</v>
      </c>
      <c r="G12" s="922"/>
      <c r="H12" s="922"/>
      <c r="I12" s="922"/>
      <c r="J12" s="923"/>
      <c r="K12" s="14"/>
      <c r="L12" s="14"/>
      <c r="M12" s="14"/>
      <c r="N12" s="14"/>
      <c r="P12" s="14"/>
      <c r="Q12" s="14"/>
      <c r="R12" s="14"/>
    </row>
    <row r="13" spans="1:19" ht="21.6" customHeight="1" x14ac:dyDescent="0.25">
      <c r="B13" s="12"/>
      <c r="D13" s="918" t="s">
        <v>3</v>
      </c>
      <c r="E13" s="919"/>
      <c r="F13" s="922" t="s">
        <v>1687</v>
      </c>
      <c r="G13" s="922"/>
      <c r="H13" s="922"/>
      <c r="I13" s="922"/>
      <c r="J13" s="923"/>
      <c r="K13" s="14"/>
      <c r="L13" s="14"/>
      <c r="M13" s="14"/>
      <c r="N13" s="14"/>
      <c r="P13" s="14"/>
      <c r="Q13" s="14"/>
      <c r="R13" s="14"/>
    </row>
    <row r="14" spans="1:19" ht="22.2" customHeight="1" x14ac:dyDescent="0.25">
      <c r="B14" s="12"/>
      <c r="D14" s="918" t="s">
        <v>4</v>
      </c>
      <c r="E14" s="919"/>
      <c r="F14" s="922" t="s">
        <v>1689</v>
      </c>
      <c r="G14" s="922"/>
      <c r="H14" s="922"/>
      <c r="I14" s="922"/>
      <c r="J14" s="923"/>
      <c r="K14" s="14"/>
      <c r="L14" s="14"/>
      <c r="M14" s="14"/>
      <c r="N14" s="14"/>
      <c r="P14" s="14"/>
      <c r="Q14" s="14"/>
      <c r="R14" s="14"/>
    </row>
    <row r="15" spans="1:19" ht="21.6" customHeight="1" x14ac:dyDescent="0.25">
      <c r="B15" s="12"/>
      <c r="D15" s="918" t="s">
        <v>5</v>
      </c>
      <c r="E15" s="919"/>
      <c r="F15" s="922" t="s">
        <v>1688</v>
      </c>
      <c r="G15" s="922"/>
      <c r="H15" s="922"/>
      <c r="I15" s="922"/>
      <c r="J15" s="923"/>
      <c r="K15" s="14"/>
      <c r="L15" s="14"/>
      <c r="M15" s="14"/>
      <c r="N15" s="14"/>
      <c r="P15" s="14"/>
      <c r="Q15" s="14"/>
      <c r="R15" s="14"/>
    </row>
    <row r="16" spans="1:19" ht="21" customHeight="1" x14ac:dyDescent="0.25">
      <c r="D16" s="918" t="s">
        <v>6</v>
      </c>
      <c r="E16" s="919"/>
      <c r="F16" s="922" t="s">
        <v>1690</v>
      </c>
      <c r="G16" s="922"/>
      <c r="H16" s="922"/>
      <c r="I16" s="922"/>
      <c r="J16" s="923"/>
      <c r="K16" s="14"/>
      <c r="L16" s="14"/>
      <c r="M16" s="14"/>
      <c r="N16" s="14"/>
      <c r="P16" s="14"/>
      <c r="Q16" s="14"/>
      <c r="R16" s="14"/>
    </row>
    <row r="17" spans="3:18" ht="21" customHeight="1" x14ac:dyDescent="0.25">
      <c r="D17" s="918" t="s">
        <v>7</v>
      </c>
      <c r="E17" s="919"/>
      <c r="F17" s="924">
        <v>45350</v>
      </c>
      <c r="G17" s="924"/>
      <c r="H17" s="924"/>
      <c r="I17" s="924"/>
      <c r="J17" s="925"/>
      <c r="K17" s="14"/>
      <c r="L17" s="14"/>
      <c r="M17" s="14"/>
      <c r="N17" s="14"/>
      <c r="P17" s="14"/>
      <c r="Q17" s="14"/>
      <c r="R17" s="14"/>
    </row>
    <row r="18" spans="3:18" ht="23.55" customHeight="1" x14ac:dyDescent="0.25">
      <c r="D18" s="918" t="s">
        <v>8</v>
      </c>
      <c r="E18" s="919"/>
      <c r="F18" s="922"/>
      <c r="G18" s="922"/>
      <c r="H18" s="922"/>
      <c r="I18" s="922"/>
      <c r="J18" s="923"/>
      <c r="K18" s="14"/>
      <c r="L18" s="14"/>
      <c r="M18" s="14"/>
      <c r="N18" s="14"/>
      <c r="P18" s="14"/>
      <c r="Q18" s="14"/>
      <c r="R18" s="14"/>
    </row>
    <row r="19" spans="3:18" ht="24.6" customHeight="1" x14ac:dyDescent="0.25">
      <c r="D19" s="918" t="s">
        <v>9</v>
      </c>
      <c r="E19" s="919"/>
      <c r="F19" s="922"/>
      <c r="G19" s="922"/>
      <c r="H19" s="922"/>
      <c r="I19" s="922"/>
      <c r="J19" s="923"/>
      <c r="K19" s="14"/>
      <c r="L19" s="14"/>
      <c r="M19" s="14"/>
      <c r="N19" s="14"/>
      <c r="P19" s="14"/>
      <c r="Q19" s="14"/>
      <c r="R19" s="14"/>
    </row>
    <row r="20" spans="3:18" ht="24.6" customHeight="1" x14ac:dyDescent="0.25">
      <c r="D20" s="899" t="s">
        <v>10</v>
      </c>
      <c r="E20" s="900"/>
      <c r="F20" s="913"/>
      <c r="G20" s="914"/>
      <c r="H20" s="914"/>
      <c r="I20" s="914"/>
      <c r="J20" s="915"/>
      <c r="K20" s="14"/>
      <c r="L20" s="14"/>
      <c r="M20" s="14"/>
      <c r="N20" s="14"/>
      <c r="P20" s="14"/>
      <c r="Q20" s="14"/>
      <c r="R20" s="14"/>
    </row>
    <row r="21" spans="3:18" ht="19.95" customHeight="1" x14ac:dyDescent="0.25">
      <c r="D21" s="920" t="s">
        <v>11</v>
      </c>
      <c r="E21" s="921"/>
      <c r="F21" s="916"/>
      <c r="G21" s="916"/>
      <c r="H21" s="916"/>
      <c r="I21" s="916"/>
      <c r="J21" s="917"/>
      <c r="K21" s="14"/>
      <c r="L21" s="14"/>
      <c r="M21" s="14"/>
      <c r="N21" s="14"/>
      <c r="P21" s="14"/>
      <c r="Q21" s="14"/>
      <c r="R21" s="14"/>
    </row>
    <row r="22" spans="3:18" ht="19.95" customHeight="1" x14ac:dyDescent="0.25">
      <c r="D22" s="899" t="s">
        <v>12</v>
      </c>
      <c r="E22" s="900"/>
      <c r="F22" s="901">
        <v>0</v>
      </c>
      <c r="G22" s="902"/>
      <c r="H22" s="903"/>
      <c r="I22" s="909" t="str">
        <f>IF(OR(F22&gt;=10%,F22=""),"","Target set below 10% ▲")</f>
        <v>Target set below 10% ▲</v>
      </c>
      <c r="J22" s="910"/>
      <c r="K22" s="14"/>
      <c r="L22" s="14"/>
      <c r="M22" s="14"/>
      <c r="N22" s="14"/>
      <c r="P22" s="14"/>
      <c r="Q22" s="14"/>
      <c r="R22" s="14"/>
    </row>
    <row r="23" spans="3:18" ht="31.05" customHeight="1" x14ac:dyDescent="0.25">
      <c r="D23" s="911" t="s">
        <v>13</v>
      </c>
      <c r="E23" s="912"/>
      <c r="F23" s="904" t="s">
        <v>54</v>
      </c>
      <c r="G23" s="905"/>
      <c r="H23" s="906"/>
      <c r="I23" s="907" t="str">
        <f>IF(F23="Yes","Irreplaceable habitats at baseline, you must fill in the irreplaceable habitat tab ⚠",IF(F23="","You must specify if irreplaceable habitats are on-site at baseline ▲",""))</f>
        <v/>
      </c>
      <c r="J23" s="908"/>
      <c r="K23" s="14"/>
      <c r="L23" s="14"/>
      <c r="M23" s="14"/>
      <c r="N23" s="14"/>
      <c r="P23" s="14"/>
      <c r="Q23" s="14"/>
      <c r="R23" s="14"/>
    </row>
    <row r="24" spans="3:18" ht="37.049999999999997" customHeight="1" x14ac:dyDescent="0.25">
      <c r="D24" s="964" t="s">
        <v>14</v>
      </c>
      <c r="E24" s="965"/>
      <c r="F24" s="979">
        <f>'Detailed Results'!D21+'Irreplaceable Habitats'!S38</f>
        <v>0.53849999999999998</v>
      </c>
      <c r="G24" s="980"/>
      <c r="H24" s="980"/>
      <c r="I24" s="600" t="s">
        <v>15</v>
      </c>
      <c r="J24" s="601">
        <f>'Irreplaceable Habitats'!M32</f>
        <v>0</v>
      </c>
      <c r="K24" s="14"/>
      <c r="L24" s="14"/>
      <c r="M24" s="14"/>
      <c r="N24" s="14"/>
      <c r="P24" s="14"/>
      <c r="Q24" s="14"/>
      <c r="R24" s="14"/>
    </row>
    <row r="25" spans="3:18" ht="17.100000000000001" customHeight="1" x14ac:dyDescent="0.25">
      <c r="P25" s="14"/>
      <c r="Q25" s="14"/>
      <c r="R25" s="14"/>
    </row>
    <row r="26" spans="3:18" ht="14.1" customHeight="1" x14ac:dyDescent="0.25">
      <c r="P26" s="14"/>
      <c r="Q26" s="14"/>
      <c r="R26" s="14"/>
    </row>
    <row r="27" spans="3:18" ht="51" hidden="1" customHeight="1" thickBot="1" x14ac:dyDescent="0.3">
      <c r="D27" s="944" t="s">
        <v>16</v>
      </c>
      <c r="E27" s="945"/>
      <c r="F27" s="946"/>
      <c r="G27" s="946"/>
      <c r="H27" s="946"/>
      <c r="I27" s="947" t="str">
        <f>IF(F27="Yes", "Only acceptable in exceptionally rare circumstances, ensure any deviations have been agreed with the consenting body ⚠", "")</f>
        <v/>
      </c>
      <c r="J27" s="948"/>
      <c r="P27" s="14"/>
      <c r="Q27" s="14"/>
      <c r="R27" s="14"/>
    </row>
    <row r="28" spans="3:18" ht="16.5" customHeight="1" thickBot="1" x14ac:dyDescent="0.3">
      <c r="C28" s="14"/>
      <c r="K28" s="14"/>
      <c r="P28" s="14"/>
      <c r="Q28" s="14"/>
      <c r="R28" s="14"/>
    </row>
    <row r="29" spans="3:18" ht="20.25" customHeight="1" thickBot="1" x14ac:dyDescent="0.4">
      <c r="C29" s="14"/>
      <c r="D29" s="968" t="s">
        <v>17</v>
      </c>
      <c r="E29" s="969"/>
      <c r="F29" s="969"/>
      <c r="G29" s="969"/>
      <c r="H29" s="969"/>
      <c r="I29" s="969"/>
      <c r="J29" s="970"/>
      <c r="K29" s="14"/>
      <c r="L29" s="15"/>
      <c r="M29" s="15"/>
      <c r="N29" s="15"/>
      <c r="P29" s="14"/>
      <c r="Q29" s="14"/>
      <c r="R29" s="14"/>
    </row>
    <row r="30" spans="3:18" ht="20.25" customHeight="1" x14ac:dyDescent="0.35">
      <c r="C30" s="14"/>
      <c r="D30" s="975" t="s">
        <v>18</v>
      </c>
      <c r="E30" s="976"/>
      <c r="F30" s="977" t="s">
        <v>19</v>
      </c>
      <c r="G30" s="977"/>
      <c r="H30" s="977"/>
      <c r="I30" s="977"/>
      <c r="J30" s="978"/>
      <c r="K30" s="14"/>
      <c r="L30" s="15"/>
      <c r="M30" s="15"/>
      <c r="N30" s="15"/>
      <c r="P30" s="14"/>
      <c r="Q30" s="14"/>
      <c r="R30" s="14"/>
    </row>
    <row r="31" spans="3:18" ht="16.5" customHeight="1" x14ac:dyDescent="0.3">
      <c r="D31" s="971" t="s">
        <v>20</v>
      </c>
      <c r="E31" s="972"/>
      <c r="F31" s="973" t="s">
        <v>21</v>
      </c>
      <c r="G31" s="973"/>
      <c r="H31" s="973"/>
      <c r="I31" s="973"/>
      <c r="J31" s="974"/>
      <c r="P31" s="14"/>
      <c r="Q31" s="14"/>
      <c r="R31" s="14"/>
    </row>
    <row r="32" spans="3:18" ht="16.5" customHeight="1" x14ac:dyDescent="0.3">
      <c r="D32" s="953"/>
      <c r="E32" s="954"/>
      <c r="F32" s="955" t="s">
        <v>22</v>
      </c>
      <c r="G32" s="956"/>
      <c r="H32" s="956"/>
      <c r="I32" s="956"/>
      <c r="J32" s="957"/>
      <c r="P32" s="14"/>
      <c r="Q32" s="14"/>
      <c r="R32" s="14"/>
    </row>
    <row r="33" spans="4:18" ht="16.5" customHeight="1" x14ac:dyDescent="0.3">
      <c r="D33" s="966"/>
      <c r="E33" s="967"/>
      <c r="F33" s="951" t="s">
        <v>23</v>
      </c>
      <c r="G33" s="951"/>
      <c r="H33" s="951"/>
      <c r="I33" s="951"/>
      <c r="J33" s="952"/>
      <c r="K33" s="14"/>
      <c r="L33" s="14"/>
      <c r="M33" s="14"/>
      <c r="N33" s="14"/>
      <c r="P33" s="14"/>
      <c r="Q33" s="14"/>
      <c r="R33" s="14"/>
    </row>
    <row r="34" spans="4:18" ht="16.5" customHeight="1" x14ac:dyDescent="0.3">
      <c r="D34" s="949"/>
      <c r="E34" s="950"/>
      <c r="F34" s="951" t="s">
        <v>24</v>
      </c>
      <c r="G34" s="951"/>
      <c r="H34" s="951"/>
      <c r="I34" s="951"/>
      <c r="J34" s="952"/>
      <c r="K34" s="14"/>
      <c r="L34" s="14"/>
      <c r="M34" s="14"/>
      <c r="N34" s="14"/>
      <c r="P34" s="14"/>
      <c r="Q34" s="14"/>
      <c r="R34" s="14"/>
    </row>
    <row r="35" spans="4:18" ht="16.5" customHeight="1" thickBot="1" x14ac:dyDescent="0.35">
      <c r="D35" s="940"/>
      <c r="E35" s="941"/>
      <c r="F35" s="942" t="s">
        <v>25</v>
      </c>
      <c r="G35" s="942"/>
      <c r="H35" s="942"/>
      <c r="I35" s="942"/>
      <c r="J35" s="943"/>
      <c r="K35" s="14"/>
      <c r="L35" s="14"/>
      <c r="M35" s="14"/>
      <c r="N35" s="14"/>
      <c r="P35" s="14"/>
      <c r="Q35" s="14"/>
      <c r="R35" s="14"/>
    </row>
    <row r="36" spans="4:18" ht="16.5" customHeight="1" x14ac:dyDescent="0.25">
      <c r="D36" s="14"/>
      <c r="E36" s="14"/>
      <c r="F36" s="14"/>
      <c r="G36" s="14"/>
      <c r="H36" s="14"/>
      <c r="I36" s="14"/>
      <c r="J36" s="14"/>
      <c r="K36" s="14"/>
      <c r="L36" s="14"/>
      <c r="M36" s="14"/>
      <c r="N36" s="14"/>
      <c r="P36" s="14"/>
      <c r="Q36" s="14"/>
      <c r="R36" s="14"/>
    </row>
    <row r="37" spans="4:18" ht="24" customHeight="1" x14ac:dyDescent="0.25">
      <c r="D37" s="14"/>
      <c r="E37" s="14"/>
      <c r="F37" s="14"/>
      <c r="G37" s="14"/>
      <c r="H37" s="14"/>
      <c r="I37" s="14"/>
      <c r="J37" s="14"/>
      <c r="K37" s="14"/>
      <c r="L37" s="14"/>
      <c r="M37" s="14"/>
      <c r="N37" s="14"/>
      <c r="P37" s="14"/>
      <c r="Q37" s="14"/>
      <c r="R37" s="14"/>
    </row>
    <row r="38" spans="4:18" ht="15.6" x14ac:dyDescent="0.25">
      <c r="D38" s="14"/>
      <c r="E38" s="14"/>
      <c r="F38" s="14"/>
      <c r="G38" s="14"/>
      <c r="H38" s="14"/>
      <c r="I38" s="14"/>
      <c r="J38" s="14"/>
      <c r="K38" s="14"/>
      <c r="L38" s="14"/>
      <c r="M38" s="14"/>
      <c r="N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15.6" x14ac:dyDescent="0.25">
      <c r="D45" s="14"/>
      <c r="E45" s="14"/>
      <c r="F45" s="14"/>
      <c r="G45" s="14"/>
      <c r="H45" s="14"/>
      <c r="I45" s="14"/>
      <c r="J45" s="14"/>
      <c r="K45" s="14"/>
      <c r="L45" s="14"/>
      <c r="M45" s="14"/>
      <c r="N45" s="14"/>
      <c r="O45" s="14"/>
      <c r="P45" s="14"/>
      <c r="Q45" s="14"/>
      <c r="R45" s="14"/>
    </row>
    <row r="46" spans="4:18" ht="15.6" x14ac:dyDescent="0.25">
      <c r="D46" s="14"/>
      <c r="E46" s="14"/>
      <c r="F46" s="14"/>
      <c r="G46" s="14"/>
      <c r="H46" s="14"/>
      <c r="I46" s="14"/>
      <c r="J46" s="14"/>
      <c r="K46" s="14"/>
      <c r="L46" s="14"/>
      <c r="M46" s="14"/>
      <c r="N46" s="14"/>
      <c r="O46" s="14"/>
      <c r="P46" s="14"/>
      <c r="Q46" s="14"/>
      <c r="R46" s="14"/>
    </row>
    <row r="47" spans="4:18" ht="15.6" x14ac:dyDescent="0.25">
      <c r="D47" s="14"/>
      <c r="E47" s="14"/>
      <c r="F47" s="14"/>
      <c r="G47" s="14"/>
      <c r="H47" s="14"/>
      <c r="I47" s="14"/>
      <c r="J47" s="14"/>
      <c r="K47" s="14"/>
      <c r="L47" s="14"/>
      <c r="M47" s="14"/>
      <c r="N47" s="14"/>
      <c r="O47" s="14"/>
      <c r="P47" s="14"/>
      <c r="Q47" s="14"/>
      <c r="R47" s="14"/>
    </row>
    <row r="48" spans="4:18" ht="15.6" x14ac:dyDescent="0.25">
      <c r="D48" s="14"/>
      <c r="E48" s="14"/>
      <c r="F48" s="14"/>
      <c r="G48" s="14"/>
      <c r="H48" s="14"/>
      <c r="I48" s="14"/>
      <c r="J48" s="14"/>
      <c r="K48" s="14"/>
      <c r="L48" s="14"/>
      <c r="M48" s="14"/>
      <c r="N48" s="14"/>
      <c r="O48" s="14"/>
      <c r="P48" s="14"/>
      <c r="Q48" s="14"/>
      <c r="R48" s="14"/>
    </row>
    <row r="49" spans="4:18" ht="15.6" x14ac:dyDescent="0.25">
      <c r="D49" s="14"/>
      <c r="E49" s="14"/>
      <c r="F49" s="14"/>
      <c r="G49" s="14"/>
      <c r="H49" s="14"/>
      <c r="I49" s="14"/>
      <c r="J49" s="14"/>
      <c r="K49" s="14"/>
      <c r="L49" s="14"/>
      <c r="M49" s="14"/>
      <c r="N49" s="14"/>
      <c r="O49" s="14"/>
      <c r="P49" s="14"/>
      <c r="Q49" s="14"/>
      <c r="R49" s="14"/>
    </row>
    <row r="50" spans="4:18" ht="15.6" x14ac:dyDescent="0.25">
      <c r="D50" s="14"/>
      <c r="E50" s="14"/>
      <c r="F50" s="14"/>
      <c r="G50" s="14"/>
      <c r="H50" s="14"/>
      <c r="I50" s="14"/>
      <c r="J50" s="14"/>
      <c r="K50" s="14"/>
      <c r="L50" s="14"/>
      <c r="M50" s="14"/>
      <c r="N50" s="14"/>
      <c r="O50" s="14"/>
      <c r="P50" s="14"/>
      <c r="Q50" s="14"/>
      <c r="R50" s="14"/>
    </row>
    <row r="51" spans="4:18" ht="15.6" x14ac:dyDescent="0.25">
      <c r="D51" s="14"/>
      <c r="E51" s="14"/>
      <c r="F51" s="14"/>
      <c r="G51" s="14"/>
      <c r="H51" s="14"/>
      <c r="I51" s="14"/>
      <c r="J51" s="14"/>
      <c r="K51" s="14"/>
      <c r="L51" s="14"/>
      <c r="M51" s="14"/>
      <c r="N51" s="14"/>
      <c r="O51" s="14"/>
      <c r="P51" s="14"/>
      <c r="Q51" s="14"/>
      <c r="R51" s="14"/>
    </row>
    <row r="52" spans="4:18" ht="15.6" x14ac:dyDescent="0.25">
      <c r="D52" s="14"/>
      <c r="E52" s="14"/>
      <c r="F52" s="14"/>
      <c r="G52" s="14"/>
      <c r="H52" s="14"/>
      <c r="I52" s="14"/>
      <c r="J52" s="14"/>
      <c r="K52" s="14"/>
      <c r="L52" s="14"/>
      <c r="M52" s="14"/>
      <c r="N52" s="14"/>
      <c r="O52" s="14"/>
      <c r="P52" s="14"/>
      <c r="Q52" s="14"/>
      <c r="R52" s="14"/>
    </row>
    <row r="53" spans="4:18" ht="21" customHeight="1" x14ac:dyDescent="0.25">
      <c r="D53" s="14"/>
      <c r="E53" s="14"/>
      <c r="F53" s="14"/>
      <c r="G53" s="14"/>
      <c r="H53" s="14"/>
      <c r="I53" s="14"/>
      <c r="J53" s="14"/>
      <c r="K53" s="14"/>
      <c r="L53" s="14"/>
      <c r="M53" s="14"/>
      <c r="N53" s="14"/>
      <c r="O53" s="14"/>
      <c r="P53" s="14"/>
      <c r="Q53" s="14"/>
      <c r="R53" s="14"/>
    </row>
    <row r="54" spans="4:18" ht="16.2" thickBot="1" x14ac:dyDescent="0.3">
      <c r="P54" s="14"/>
      <c r="Q54" s="14"/>
      <c r="R54" s="14"/>
    </row>
    <row r="55" spans="4:18" ht="14.4" thickBot="1" x14ac:dyDescent="0.3">
      <c r="D55" s="962" t="s">
        <v>26</v>
      </c>
      <c r="E55" s="963"/>
      <c r="F55" s="958"/>
      <c r="G55" s="959"/>
      <c r="I55" s="960" t="s">
        <v>27</v>
      </c>
      <c r="J55" s="961"/>
      <c r="K55" s="958"/>
      <c r="L55" s="958"/>
      <c r="M55" s="958"/>
      <c r="N55" s="958"/>
      <c r="O55" s="959"/>
    </row>
    <row r="56" spans="4:18" ht="13.8" x14ac:dyDescent="0.25"/>
    <row r="57" spans="4:18" ht="13.8" x14ac:dyDescent="0.25"/>
    <row r="58" spans="4:18" ht="13.8" x14ac:dyDescent="0.25"/>
    <row r="59" spans="4:18" ht="6" customHeight="1" x14ac:dyDescent="0.25"/>
    <row r="60" spans="4:18" ht="13.8" x14ac:dyDescent="0.25"/>
    <row r="61" spans="4:18" ht="13.8" x14ac:dyDescent="0.25"/>
    <row r="62" spans="4:18" ht="13.8" x14ac:dyDescent="0.25"/>
    <row r="63" spans="4:18" ht="63.75" customHeight="1" x14ac:dyDescent="0.25"/>
    <row r="64" spans="4:18" ht="105.75" customHeight="1" x14ac:dyDescent="0.25"/>
    <row r="65" spans="4:15" ht="48.75" customHeight="1" thickBot="1" x14ac:dyDescent="0.3"/>
    <row r="66" spans="4:15" ht="16.5" customHeight="1" thickBot="1" x14ac:dyDescent="0.3">
      <c r="D66" s="960" t="s">
        <v>28</v>
      </c>
      <c r="E66" s="961"/>
      <c r="F66" s="958"/>
      <c r="G66" s="959"/>
      <c r="I66" s="960" t="s">
        <v>29</v>
      </c>
      <c r="J66" s="961"/>
      <c r="K66" s="958"/>
      <c r="L66" s="958"/>
      <c r="M66" s="958"/>
      <c r="N66" s="958"/>
      <c r="O66" s="959"/>
    </row>
    <row r="67" spans="4:15" ht="105.75" customHeight="1" x14ac:dyDescent="0.25"/>
    <row r="68" spans="4:15" ht="105.75" customHeight="1" x14ac:dyDescent="0.25"/>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4:E24"/>
    <mergeCell ref="D33:E33"/>
    <mergeCell ref="D29:J29"/>
    <mergeCell ref="F33:J33"/>
    <mergeCell ref="D31:E31"/>
    <mergeCell ref="F31:J31"/>
    <mergeCell ref="D30:E30"/>
    <mergeCell ref="F30:J30"/>
    <mergeCell ref="F24:H24"/>
    <mergeCell ref="K55:O55"/>
    <mergeCell ref="D66:E66"/>
    <mergeCell ref="F66:G66"/>
    <mergeCell ref="I66:J66"/>
    <mergeCell ref="K66:O66"/>
    <mergeCell ref="D55:E55"/>
    <mergeCell ref="F55:G55"/>
    <mergeCell ref="I55:J55"/>
    <mergeCell ref="D35:E35"/>
    <mergeCell ref="F35:J35"/>
    <mergeCell ref="D27:E27"/>
    <mergeCell ref="F27:H27"/>
    <mergeCell ref="I27:J27"/>
    <mergeCell ref="D34:E34"/>
    <mergeCell ref="F34:J34"/>
    <mergeCell ref="D32:E32"/>
    <mergeCell ref="F32:J32"/>
    <mergeCell ref="F16:J16"/>
    <mergeCell ref="D13:E13"/>
    <mergeCell ref="D14:E14"/>
    <mergeCell ref="D15:E15"/>
    <mergeCell ref="D16:E16"/>
    <mergeCell ref="D12:E12"/>
    <mergeCell ref="F12:J12"/>
    <mergeCell ref="F13:J13"/>
    <mergeCell ref="F14:J14"/>
    <mergeCell ref="F15:J15"/>
    <mergeCell ref="F1:J1"/>
    <mergeCell ref="K1:P1"/>
    <mergeCell ref="F3:Q4"/>
    <mergeCell ref="D11:E11"/>
    <mergeCell ref="F11:J11"/>
    <mergeCell ref="E8:J8"/>
    <mergeCell ref="D9:J10"/>
    <mergeCell ref="D20:E20"/>
    <mergeCell ref="F20:J20"/>
    <mergeCell ref="F21:J21"/>
    <mergeCell ref="D17:E17"/>
    <mergeCell ref="D21:E21"/>
    <mergeCell ref="F18:J18"/>
    <mergeCell ref="F19:J19"/>
    <mergeCell ref="F17:J17"/>
    <mergeCell ref="D18:E18"/>
    <mergeCell ref="D19:E19"/>
    <mergeCell ref="D22:E22"/>
    <mergeCell ref="F22:H22"/>
    <mergeCell ref="F23:H23"/>
    <mergeCell ref="I23:J23"/>
    <mergeCell ref="I22:J22"/>
    <mergeCell ref="D23:E23"/>
  </mergeCells>
  <conditionalFormatting sqref="F23:F24 F27">
    <cfRule type="containsText" dxfId="723" priority="10" operator="containsText" text="No">
      <formula>NOT(ISERROR(SEARCH("No",F23)))</formula>
    </cfRule>
    <cfRule type="containsText" dxfId="722" priority="11" operator="containsText" text="Yes">
      <formula>NOT(ISERROR(SEARCH("Yes",F23)))</formula>
    </cfRule>
  </conditionalFormatting>
  <conditionalFormatting sqref="I22:I23">
    <cfRule type="containsText" dxfId="721" priority="9" operator="containsText" text="▲">
      <formula>NOT(ISERROR(SEARCH("▲",I22)))</formula>
    </cfRule>
  </conditionalFormatting>
  <conditionalFormatting sqref="I23">
    <cfRule type="containsText" dxfId="720" priority="8" operator="containsText" text="tab">
      <formula>NOT(ISERROR(SEARCH("tab",I23)))</formula>
    </cfRule>
  </conditionalFormatting>
  <conditionalFormatting sqref="I27">
    <cfRule type="containsText" dxfId="719" priority="6" operator="containsText" text="tab">
      <formula>NOT(ISERROR(SEARCH("tab",I27)))</formula>
    </cfRule>
    <cfRule type="containsText" dxfId="718" priority="7" operator="containsText" text="▲">
      <formula>NOT(ISERROR(SEARCH("▲",I27)))</formula>
    </cfRule>
  </conditionalFormatting>
  <conditionalFormatting sqref="I24:J24">
    <cfRule type="containsText" dxfId="717" priority="2" operator="containsText" text="tab">
      <formula>NOT(ISERROR(SEARCH("tab",I24)))</formula>
    </cfRule>
    <cfRule type="containsText" dxfId="716" priority="3" operator="containsText" text="▲">
      <formula>NOT(ISERROR(SEARCH("▲",I24)))</formula>
    </cfRule>
  </conditionalFormatting>
  <conditionalFormatting sqref="I27:J27">
    <cfRule type="containsBlanks" dxfId="715"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55" customHeight="1" zeroHeight="1" x14ac:dyDescent="0.3"/>
  <cols>
    <col min="1" max="3" width="2.21875" style="9" customWidth="1"/>
    <col min="4" max="4" width="18.77734375" style="9" customWidth="1"/>
    <col min="5" max="8" width="9.21875" style="9" customWidth="1"/>
    <col min="9" max="9" width="7" style="9" customWidth="1"/>
    <col min="10" max="12" width="9.21875" style="9" customWidth="1"/>
    <col min="13" max="13" width="12.21875" style="9" customWidth="1"/>
    <col min="14" max="14" width="5.77734375" style="9" customWidth="1"/>
    <col min="15" max="15" width="14.5546875" style="9" customWidth="1"/>
    <col min="16" max="16" width="14" style="9" customWidth="1"/>
    <col min="17" max="17" width="13.77734375" style="9" bestFit="1" customWidth="1"/>
    <col min="18" max="18" width="19.21875" style="9" customWidth="1"/>
    <col min="19" max="26" width="9.21875" style="9" customWidth="1"/>
    <col min="27" max="16384" width="9.21875" style="9" hidden="1"/>
  </cols>
  <sheetData>
    <row r="1" spans="1:18" ht="15.75" customHeight="1" x14ac:dyDescent="0.6">
      <c r="B1" s="16"/>
      <c r="C1" s="16"/>
      <c r="E1" s="17"/>
      <c r="F1" s="981"/>
      <c r="G1" s="981"/>
      <c r="H1" s="981"/>
      <c r="I1" s="981"/>
      <c r="J1" s="981"/>
      <c r="K1" s="982"/>
      <c r="L1" s="982"/>
      <c r="M1" s="982"/>
      <c r="N1" s="982"/>
      <c r="O1" s="982"/>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983"/>
      <c r="H10" s="983"/>
      <c r="I10" s="983"/>
      <c r="J10" s="983"/>
      <c r="K10" s="983"/>
      <c r="L10" s="983"/>
      <c r="M10" s="983"/>
      <c r="N10" s="983"/>
      <c r="O10" s="983"/>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586740</xdr:colOff>
                <xdr:row>11</xdr:row>
                <xdr:rowOff>167640</xdr:rowOff>
              </from>
              <to>
                <xdr:col>15</xdr:col>
                <xdr:colOff>182880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77734375" defaultRowHeight="15.6" x14ac:dyDescent="0.3"/>
  <cols>
    <col min="1" max="7" width="8.77734375" style="557"/>
    <col min="8" max="8" width="12.5546875" style="557" customWidth="1"/>
    <col min="9" max="9" width="8.77734375" style="557" customWidth="1"/>
    <col min="10" max="10" width="3.5546875" style="557" customWidth="1"/>
    <col min="11" max="13" width="8.77734375" style="557"/>
    <col min="14" max="14" width="10.44140625" style="557" customWidth="1"/>
    <col min="15" max="15" width="8.77734375" style="557"/>
    <col min="16" max="16" width="11.44140625" style="557" customWidth="1"/>
    <col min="17" max="17" width="7.21875" style="557" customWidth="1"/>
    <col min="18" max="18" width="4.77734375" style="557" customWidth="1"/>
    <col min="19" max="19" width="26.21875" style="557" customWidth="1"/>
    <col min="20" max="20" width="12.44140625" style="557" customWidth="1"/>
    <col min="21" max="25" width="8.77734375" style="557"/>
    <col min="26" max="26" width="17.77734375" style="557" customWidth="1"/>
    <col min="27" max="27" width="49.21875" style="557" customWidth="1"/>
    <col min="28" max="16384" width="8.77734375" style="557"/>
  </cols>
  <sheetData>
    <row r="1" spans="2:34" ht="16.2" thickBot="1" x14ac:dyDescent="0.35"/>
    <row r="2" spans="2:34" ht="25.05" customHeight="1" x14ac:dyDescent="0.3">
      <c r="B2" s="1060" t="s">
        <v>30</v>
      </c>
      <c r="C2" s="1061"/>
      <c r="D2" s="1061"/>
      <c r="E2" s="1061"/>
      <c r="F2" s="1061"/>
      <c r="G2" s="1061"/>
      <c r="H2" s="1061"/>
      <c r="I2" s="1061"/>
      <c r="J2" s="1061"/>
      <c r="K2" s="1061"/>
      <c r="L2" s="1061"/>
      <c r="M2" s="1061"/>
      <c r="N2" s="1061"/>
      <c r="O2" s="1061"/>
      <c r="P2" s="1061"/>
      <c r="Q2" s="1061"/>
      <c r="R2" s="1061"/>
      <c r="S2" s="1061"/>
      <c r="T2" s="1061"/>
      <c r="U2" s="1061"/>
      <c r="V2" s="1061"/>
      <c r="W2" s="1061"/>
      <c r="X2" s="1061"/>
      <c r="Y2" s="1061"/>
      <c r="Z2" s="1061"/>
      <c r="AA2" s="1062"/>
    </row>
    <row r="3" spans="2:34" ht="15" customHeight="1" thickBot="1" x14ac:dyDescent="0.35">
      <c r="B3" s="1063"/>
      <c r="C3" s="1064"/>
      <c r="D3" s="1064"/>
      <c r="E3" s="1064"/>
      <c r="F3" s="1064"/>
      <c r="G3" s="1064"/>
      <c r="H3" s="1064"/>
      <c r="I3" s="1064"/>
      <c r="J3" s="1064"/>
      <c r="K3" s="1064"/>
      <c r="L3" s="1064"/>
      <c r="M3" s="1064"/>
      <c r="N3" s="1064"/>
      <c r="O3" s="1064"/>
      <c r="P3" s="1064"/>
      <c r="Q3" s="1064"/>
      <c r="R3" s="1064"/>
      <c r="S3" s="1064"/>
      <c r="T3" s="1064"/>
      <c r="U3" s="1064"/>
      <c r="V3" s="1064"/>
      <c r="W3" s="1064"/>
      <c r="X3" s="1064"/>
      <c r="Y3" s="1064"/>
      <c r="Z3" s="1064"/>
      <c r="AA3" s="1065"/>
    </row>
    <row r="4" spans="2:34" ht="15.6" customHeight="1" x14ac:dyDescent="0.3">
      <c r="B4" s="1051" t="s">
        <v>31</v>
      </c>
      <c r="C4" s="1052"/>
      <c r="D4" s="1052"/>
      <c r="E4" s="1052"/>
      <c r="F4" s="1052"/>
      <c r="G4" s="1052"/>
      <c r="H4" s="1052"/>
      <c r="I4" s="1052"/>
      <c r="J4" s="1052"/>
      <c r="K4" s="1052"/>
      <c r="L4" s="1052"/>
      <c r="M4" s="1052"/>
      <c r="N4" s="1052"/>
      <c r="O4" s="1052"/>
      <c r="P4" s="1052"/>
      <c r="Q4" s="1052"/>
      <c r="R4" s="1052"/>
      <c r="S4" s="1052"/>
      <c r="T4" s="1052"/>
      <c r="U4" s="1052"/>
      <c r="V4" s="1052"/>
      <c r="W4" s="1052"/>
      <c r="X4" s="1052"/>
      <c r="Y4" s="1052"/>
      <c r="Z4" s="1052"/>
      <c r="AA4" s="1053"/>
    </row>
    <row r="5" spans="2:34" ht="5.0999999999999996" customHeight="1" thickBot="1" x14ac:dyDescent="0.35">
      <c r="B5" s="1054"/>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6"/>
    </row>
    <row r="6" spans="2:34" ht="15.6" hidden="1" customHeight="1" x14ac:dyDescent="0.3">
      <c r="B6" s="1054"/>
      <c r="C6" s="1055"/>
      <c r="D6" s="1055"/>
      <c r="E6" s="1055"/>
      <c r="F6" s="1055"/>
      <c r="G6" s="1055"/>
      <c r="H6" s="1055"/>
      <c r="I6" s="1055"/>
      <c r="J6" s="1055"/>
      <c r="K6" s="1055"/>
      <c r="L6" s="1055"/>
      <c r="M6" s="1055"/>
      <c r="N6" s="1055"/>
      <c r="O6" s="1055"/>
      <c r="P6" s="1055"/>
      <c r="Q6" s="1055"/>
      <c r="R6" s="1055"/>
      <c r="S6" s="1055"/>
      <c r="T6" s="1055"/>
      <c r="U6" s="1055"/>
      <c r="V6" s="1055"/>
      <c r="W6" s="1055"/>
      <c r="X6" s="1055"/>
      <c r="Y6" s="1055"/>
      <c r="Z6" s="1055"/>
      <c r="AA6" s="1056"/>
    </row>
    <row r="7" spans="2:34" ht="14.1" hidden="1" customHeight="1" x14ac:dyDescent="0.3">
      <c r="B7" s="1054"/>
      <c r="C7" s="1055"/>
      <c r="D7" s="1055"/>
      <c r="E7" s="1055"/>
      <c r="F7" s="1055"/>
      <c r="G7" s="1055"/>
      <c r="H7" s="1055"/>
      <c r="I7" s="1055"/>
      <c r="J7" s="1055"/>
      <c r="K7" s="1055"/>
      <c r="L7" s="1055"/>
      <c r="M7" s="1055"/>
      <c r="N7" s="1055"/>
      <c r="O7" s="1055"/>
      <c r="P7" s="1055"/>
      <c r="Q7" s="1055"/>
      <c r="R7" s="1055"/>
      <c r="S7" s="1055"/>
      <c r="T7" s="1055"/>
      <c r="U7" s="1055"/>
      <c r="V7" s="1055"/>
      <c r="W7" s="1055"/>
      <c r="X7" s="1055"/>
      <c r="Y7" s="1055"/>
      <c r="Z7" s="1055"/>
      <c r="AA7" s="1056"/>
    </row>
    <row r="8" spans="2:34" ht="23.1" hidden="1" customHeight="1" thickBot="1" x14ac:dyDescent="0.35">
      <c r="B8" s="1057"/>
      <c r="C8" s="1058"/>
      <c r="D8" s="1058"/>
      <c r="E8" s="1058"/>
      <c r="F8" s="1058"/>
      <c r="G8" s="1058"/>
      <c r="H8" s="1058"/>
      <c r="I8" s="1058"/>
      <c r="J8" s="1058"/>
      <c r="K8" s="1058"/>
      <c r="L8" s="1058"/>
      <c r="M8" s="1058"/>
      <c r="N8" s="1058"/>
      <c r="O8" s="1058"/>
      <c r="P8" s="1058"/>
      <c r="Q8" s="1058"/>
      <c r="R8" s="1058"/>
      <c r="S8" s="1058"/>
      <c r="T8" s="1058"/>
      <c r="U8" s="1058"/>
      <c r="V8" s="1058"/>
      <c r="W8" s="1058"/>
      <c r="X8" s="1058"/>
      <c r="Y8" s="1058"/>
      <c r="Z8" s="1058"/>
      <c r="AA8" s="1059"/>
    </row>
    <row r="9" spans="2:34" s="591" customFormat="1" ht="40.049999999999997" customHeight="1" thickBot="1" x14ac:dyDescent="0.35">
      <c r="B9" s="1038" t="s">
        <v>32</v>
      </c>
      <c r="C9" s="1039"/>
      <c r="D9" s="1066"/>
      <c r="E9" s="1038" t="s">
        <v>33</v>
      </c>
      <c r="F9" s="1039"/>
      <c r="G9" s="1039"/>
      <c r="H9" s="1039"/>
      <c r="I9" s="1039"/>
      <c r="J9" s="1066"/>
      <c r="K9" s="1038" t="s">
        <v>34</v>
      </c>
      <c r="L9" s="1066"/>
      <c r="M9" s="1038" t="s">
        <v>35</v>
      </c>
      <c r="N9" s="1066"/>
      <c r="O9" s="1040" t="s">
        <v>36</v>
      </c>
      <c r="P9" s="1041"/>
      <c r="Q9" s="1041"/>
      <c r="R9" s="1042"/>
      <c r="S9" s="1040" t="s">
        <v>37</v>
      </c>
      <c r="T9" s="1042"/>
      <c r="U9" s="1038" t="s">
        <v>38</v>
      </c>
      <c r="V9" s="1039"/>
      <c r="W9" s="1039"/>
      <c r="X9" s="1039"/>
      <c r="Y9" s="1039"/>
      <c r="Z9" s="1032" t="s">
        <v>1676</v>
      </c>
      <c r="AA9" s="1033"/>
    </row>
    <row r="10" spans="2:34" s="676" customFormat="1" ht="44.55" customHeight="1" x14ac:dyDescent="0.3">
      <c r="B10" s="1073"/>
      <c r="C10" s="1074"/>
      <c r="D10" s="1075"/>
      <c r="E10" s="1036"/>
      <c r="F10" s="1067"/>
      <c r="G10" s="1067"/>
      <c r="H10" s="1067"/>
      <c r="I10" s="1067"/>
      <c r="J10" s="1037"/>
      <c r="K10" s="1071"/>
      <c r="L10" s="1072"/>
      <c r="M10" s="1071"/>
      <c r="N10" s="1072"/>
      <c r="O10" s="1036"/>
      <c r="P10" s="1067"/>
      <c r="Q10" s="1067"/>
      <c r="R10" s="1037"/>
      <c r="S10" s="1036"/>
      <c r="T10" s="1037"/>
      <c r="U10" s="1036"/>
      <c r="V10" s="1067"/>
      <c r="W10" s="1067"/>
      <c r="X10" s="1067"/>
      <c r="Y10" s="1067"/>
      <c r="Z10" s="675"/>
      <c r="AA10" s="674" t="str">
        <f>IF(AND($O10="Lost", $Z10&lt;&gt;"Yes"), "Irreplaceable habitat lost, bespoke compensation must be agreed with concenting body ▲", "")</f>
        <v/>
      </c>
      <c r="AB10" s="1091" t="str">
        <f>IF(S10="Yes","Please provide a reference to the row number within the baseline where this habitat is mentioned ⚠", "")</f>
        <v/>
      </c>
      <c r="AC10" s="1091"/>
      <c r="AD10" s="1091"/>
      <c r="AE10" s="1091"/>
      <c r="AF10" s="1091"/>
      <c r="AG10" s="1091"/>
      <c r="AH10" s="1091"/>
    </row>
    <row r="11" spans="2:34" s="593" customFormat="1" ht="44.55" customHeight="1" x14ac:dyDescent="0.3">
      <c r="B11" s="989"/>
      <c r="C11" s="990"/>
      <c r="D11" s="991"/>
      <c r="E11" s="1025"/>
      <c r="F11" s="1026"/>
      <c r="G11" s="1026"/>
      <c r="H11" s="1026"/>
      <c r="I11" s="1026"/>
      <c r="J11" s="1027"/>
      <c r="K11" s="1028"/>
      <c r="L11" s="1029"/>
      <c r="M11" s="1028"/>
      <c r="N11" s="1029"/>
      <c r="O11" s="1048"/>
      <c r="P11" s="1049"/>
      <c r="Q11" s="1049"/>
      <c r="R11" s="1050"/>
      <c r="S11" s="1036"/>
      <c r="T11" s="1037"/>
      <c r="U11" s="1088"/>
      <c r="V11" s="1089"/>
      <c r="W11" s="1089"/>
      <c r="X11" s="1089"/>
      <c r="Y11" s="1089"/>
      <c r="Z11" s="677"/>
      <c r="AA11" s="674" t="str">
        <f t="shared" ref="AA11:AA31" si="0">IF(AND($O11="Lost", $Z11&lt;&gt;"Yes"), "Irreplaceable habitat lost, bespoke compensation must be agreed with concenting body ▲", "")</f>
        <v/>
      </c>
      <c r="AB11" s="1091" t="str">
        <f t="shared" ref="AB11:AB31" si="1">IF(S11="Yes","Please provide a reference to the row number within the baseline where this habitat is mentioned ⚠", "")</f>
        <v/>
      </c>
      <c r="AC11" s="1091"/>
      <c r="AD11" s="1091"/>
      <c r="AE11" s="1091"/>
      <c r="AF11" s="1091"/>
      <c r="AG11" s="1091"/>
      <c r="AH11" s="1091"/>
    </row>
    <row r="12" spans="2:34" s="593" customFormat="1" ht="44.55" customHeight="1" x14ac:dyDescent="0.3">
      <c r="B12" s="989"/>
      <c r="C12" s="990"/>
      <c r="D12" s="991"/>
      <c r="E12" s="1025"/>
      <c r="F12" s="1026"/>
      <c r="G12" s="1026"/>
      <c r="H12" s="1026"/>
      <c r="I12" s="1026"/>
      <c r="J12" s="1027"/>
      <c r="K12" s="1028"/>
      <c r="L12" s="1029"/>
      <c r="M12" s="1028"/>
      <c r="N12" s="1029"/>
      <c r="O12" s="1048"/>
      <c r="P12" s="1049"/>
      <c r="Q12" s="1049"/>
      <c r="R12" s="1050"/>
      <c r="S12" s="1036"/>
      <c r="T12" s="1037"/>
      <c r="U12" s="1025"/>
      <c r="V12" s="1026"/>
      <c r="W12" s="1026"/>
      <c r="X12" s="1026"/>
      <c r="Y12" s="1026"/>
      <c r="Z12" s="677"/>
      <c r="AA12" s="674" t="str">
        <f t="shared" si="0"/>
        <v/>
      </c>
      <c r="AB12" s="1090" t="str">
        <f t="shared" si="1"/>
        <v/>
      </c>
      <c r="AC12" s="1090"/>
      <c r="AD12" s="1090"/>
      <c r="AE12" s="1090"/>
      <c r="AF12" s="1090"/>
      <c r="AG12" s="1090"/>
      <c r="AH12" s="1090"/>
    </row>
    <row r="13" spans="2:34" s="593" customFormat="1" ht="44.55" customHeight="1" x14ac:dyDescent="0.3">
      <c r="B13" s="989"/>
      <c r="C13" s="990"/>
      <c r="D13" s="991"/>
      <c r="E13" s="1025"/>
      <c r="F13" s="1026"/>
      <c r="G13" s="1026"/>
      <c r="H13" s="1026"/>
      <c r="I13" s="1026"/>
      <c r="J13" s="1027"/>
      <c r="K13" s="1028"/>
      <c r="L13" s="1029"/>
      <c r="M13" s="1028"/>
      <c r="N13" s="1029"/>
      <c r="O13" s="1048"/>
      <c r="P13" s="1049"/>
      <c r="Q13" s="1049"/>
      <c r="R13" s="1050"/>
      <c r="S13" s="1036"/>
      <c r="T13" s="1037"/>
      <c r="U13" s="1025"/>
      <c r="V13" s="1026"/>
      <c r="W13" s="1026"/>
      <c r="X13" s="1026"/>
      <c r="Y13" s="1026"/>
      <c r="Z13" s="677"/>
      <c r="AA13" s="674" t="str">
        <f t="shared" si="0"/>
        <v/>
      </c>
      <c r="AB13" s="1090" t="str">
        <f t="shared" si="1"/>
        <v/>
      </c>
      <c r="AC13" s="1090"/>
      <c r="AD13" s="1090"/>
      <c r="AE13" s="1090"/>
      <c r="AF13" s="1090"/>
      <c r="AG13" s="1090"/>
      <c r="AH13" s="1090"/>
    </row>
    <row r="14" spans="2:34" s="593" customFormat="1" ht="44.55" customHeight="1" x14ac:dyDescent="0.3">
      <c r="B14" s="989"/>
      <c r="C14" s="990"/>
      <c r="D14" s="991"/>
      <c r="E14" s="1025"/>
      <c r="F14" s="1026"/>
      <c r="G14" s="1026"/>
      <c r="H14" s="1026"/>
      <c r="I14" s="1026"/>
      <c r="J14" s="1027"/>
      <c r="K14" s="1028"/>
      <c r="L14" s="1029"/>
      <c r="M14" s="1028"/>
      <c r="N14" s="1029"/>
      <c r="O14" s="1048"/>
      <c r="P14" s="1049"/>
      <c r="Q14" s="1049"/>
      <c r="R14" s="1050"/>
      <c r="S14" s="1036"/>
      <c r="T14" s="1037"/>
      <c r="U14" s="1025"/>
      <c r="V14" s="1026"/>
      <c r="W14" s="1026"/>
      <c r="X14" s="1026"/>
      <c r="Y14" s="1026"/>
      <c r="Z14" s="677"/>
      <c r="AA14" s="674" t="str">
        <f t="shared" si="0"/>
        <v/>
      </c>
      <c r="AB14" s="1090" t="str">
        <f t="shared" si="1"/>
        <v/>
      </c>
      <c r="AC14" s="1090"/>
      <c r="AD14" s="1090"/>
      <c r="AE14" s="1090"/>
      <c r="AF14" s="1090"/>
      <c r="AG14" s="1090"/>
      <c r="AH14" s="1090"/>
    </row>
    <row r="15" spans="2:34" s="593" customFormat="1" ht="44.55" customHeight="1" x14ac:dyDescent="0.3">
      <c r="B15" s="989"/>
      <c r="C15" s="990"/>
      <c r="D15" s="991"/>
      <c r="E15" s="1025"/>
      <c r="F15" s="1026"/>
      <c r="G15" s="1026"/>
      <c r="H15" s="1026"/>
      <c r="I15" s="1026"/>
      <c r="J15" s="1027"/>
      <c r="K15" s="1028"/>
      <c r="L15" s="1029"/>
      <c r="M15" s="1028"/>
      <c r="N15" s="1029"/>
      <c r="O15" s="1048"/>
      <c r="P15" s="1049"/>
      <c r="Q15" s="1049"/>
      <c r="R15" s="1050"/>
      <c r="S15" s="1036"/>
      <c r="T15" s="1037"/>
      <c r="U15" s="1025"/>
      <c r="V15" s="1026"/>
      <c r="W15" s="1026"/>
      <c r="X15" s="1026"/>
      <c r="Y15" s="1026"/>
      <c r="Z15" s="677"/>
      <c r="AA15" s="674" t="str">
        <f t="shared" si="0"/>
        <v/>
      </c>
      <c r="AB15" s="1090" t="str">
        <f t="shared" si="1"/>
        <v/>
      </c>
      <c r="AC15" s="1090"/>
      <c r="AD15" s="1090"/>
      <c r="AE15" s="1090"/>
      <c r="AF15" s="1090"/>
      <c r="AG15" s="1090"/>
      <c r="AH15" s="1090"/>
    </row>
    <row r="16" spans="2:34" s="593" customFormat="1" ht="44.55" customHeight="1" x14ac:dyDescent="0.3">
      <c r="B16" s="989"/>
      <c r="C16" s="990"/>
      <c r="D16" s="991"/>
      <c r="E16" s="1025"/>
      <c r="F16" s="1026"/>
      <c r="G16" s="1026"/>
      <c r="H16" s="1026"/>
      <c r="I16" s="1026"/>
      <c r="J16" s="1027"/>
      <c r="K16" s="1028"/>
      <c r="L16" s="1029"/>
      <c r="M16" s="1028"/>
      <c r="N16" s="1029"/>
      <c r="O16" s="1048"/>
      <c r="P16" s="1049"/>
      <c r="Q16" s="1049"/>
      <c r="R16" s="1050"/>
      <c r="S16" s="1036"/>
      <c r="T16" s="1037"/>
      <c r="U16" s="1025"/>
      <c r="V16" s="1026"/>
      <c r="W16" s="1026"/>
      <c r="X16" s="1026"/>
      <c r="Y16" s="1026"/>
      <c r="Z16" s="677"/>
      <c r="AA16" s="674" t="str">
        <f t="shared" si="0"/>
        <v/>
      </c>
      <c r="AB16" s="1090" t="str">
        <f t="shared" si="1"/>
        <v/>
      </c>
      <c r="AC16" s="1090"/>
      <c r="AD16" s="1090"/>
      <c r="AE16" s="1090"/>
      <c r="AF16" s="1090"/>
      <c r="AG16" s="1090"/>
      <c r="AH16" s="1090"/>
    </row>
    <row r="17" spans="2:34" s="593" customFormat="1" ht="44.55" customHeight="1" x14ac:dyDescent="0.3">
      <c r="B17" s="989"/>
      <c r="C17" s="990"/>
      <c r="D17" s="991"/>
      <c r="E17" s="1025"/>
      <c r="F17" s="1026"/>
      <c r="G17" s="1026"/>
      <c r="H17" s="1026"/>
      <c r="I17" s="1026"/>
      <c r="J17" s="1027"/>
      <c r="K17" s="1028"/>
      <c r="L17" s="1029"/>
      <c r="M17" s="1028"/>
      <c r="N17" s="1029"/>
      <c r="O17" s="1048"/>
      <c r="P17" s="1049"/>
      <c r="Q17" s="1049"/>
      <c r="R17" s="1050"/>
      <c r="S17" s="1036"/>
      <c r="T17" s="1037"/>
      <c r="U17" s="1025"/>
      <c r="V17" s="1026"/>
      <c r="W17" s="1026"/>
      <c r="X17" s="1026"/>
      <c r="Y17" s="1026"/>
      <c r="Z17" s="677"/>
      <c r="AA17" s="674" t="str">
        <f t="shared" si="0"/>
        <v/>
      </c>
      <c r="AB17" s="1090" t="str">
        <f t="shared" si="1"/>
        <v/>
      </c>
      <c r="AC17" s="1090"/>
      <c r="AD17" s="1090"/>
      <c r="AE17" s="1090"/>
      <c r="AF17" s="1090"/>
      <c r="AG17" s="1090"/>
      <c r="AH17" s="1090"/>
    </row>
    <row r="18" spans="2:34" s="593" customFormat="1" ht="44.55" customHeight="1" x14ac:dyDescent="0.3">
      <c r="B18" s="989"/>
      <c r="C18" s="990"/>
      <c r="D18" s="991"/>
      <c r="E18" s="1025"/>
      <c r="F18" s="1026"/>
      <c r="G18" s="1026"/>
      <c r="H18" s="1026"/>
      <c r="I18" s="1026"/>
      <c r="J18" s="1027"/>
      <c r="K18" s="1028"/>
      <c r="L18" s="1029"/>
      <c r="M18" s="1028"/>
      <c r="N18" s="1029"/>
      <c r="O18" s="1048"/>
      <c r="P18" s="1049"/>
      <c r="Q18" s="1049"/>
      <c r="R18" s="1050"/>
      <c r="S18" s="1036"/>
      <c r="T18" s="1037"/>
      <c r="U18" s="1025"/>
      <c r="V18" s="1026"/>
      <c r="W18" s="1026"/>
      <c r="X18" s="1026"/>
      <c r="Y18" s="1026"/>
      <c r="Z18" s="677"/>
      <c r="AA18" s="674" t="str">
        <f t="shared" si="0"/>
        <v/>
      </c>
      <c r="AB18" s="1090" t="str">
        <f t="shared" si="1"/>
        <v/>
      </c>
      <c r="AC18" s="1090"/>
      <c r="AD18" s="1090"/>
      <c r="AE18" s="1090"/>
      <c r="AF18" s="1090"/>
      <c r="AG18" s="1090"/>
      <c r="AH18" s="1090"/>
    </row>
    <row r="19" spans="2:34" s="593" customFormat="1" ht="44.55" customHeight="1" x14ac:dyDescent="0.3">
      <c r="B19" s="989"/>
      <c r="C19" s="990"/>
      <c r="D19" s="991"/>
      <c r="E19" s="1025"/>
      <c r="F19" s="1026"/>
      <c r="G19" s="1026"/>
      <c r="H19" s="1026"/>
      <c r="I19" s="1026"/>
      <c r="J19" s="1027"/>
      <c r="K19" s="1028"/>
      <c r="L19" s="1029"/>
      <c r="M19" s="1028"/>
      <c r="N19" s="1029"/>
      <c r="O19" s="1048"/>
      <c r="P19" s="1049"/>
      <c r="Q19" s="1049"/>
      <c r="R19" s="1050"/>
      <c r="S19" s="1036"/>
      <c r="T19" s="1037"/>
      <c r="U19" s="1025"/>
      <c r="V19" s="1026"/>
      <c r="W19" s="1026"/>
      <c r="X19" s="1026"/>
      <c r="Y19" s="1026"/>
      <c r="Z19" s="677"/>
      <c r="AA19" s="674" t="str">
        <f t="shared" si="0"/>
        <v/>
      </c>
      <c r="AB19" s="1090" t="str">
        <f t="shared" si="1"/>
        <v/>
      </c>
      <c r="AC19" s="1090"/>
      <c r="AD19" s="1090"/>
      <c r="AE19" s="1090"/>
      <c r="AF19" s="1090"/>
      <c r="AG19" s="1090"/>
      <c r="AH19" s="1090"/>
    </row>
    <row r="20" spans="2:34" s="593" customFormat="1" ht="44.55" customHeight="1" x14ac:dyDescent="0.3">
      <c r="B20" s="989"/>
      <c r="C20" s="990"/>
      <c r="D20" s="991"/>
      <c r="E20" s="1025"/>
      <c r="F20" s="1026"/>
      <c r="G20" s="1026"/>
      <c r="H20" s="1026"/>
      <c r="I20" s="1026"/>
      <c r="J20" s="1027"/>
      <c r="K20" s="1028"/>
      <c r="L20" s="1029"/>
      <c r="M20" s="1028"/>
      <c r="N20" s="1029"/>
      <c r="O20" s="1048"/>
      <c r="P20" s="1049"/>
      <c r="Q20" s="1049"/>
      <c r="R20" s="1050"/>
      <c r="S20" s="1036"/>
      <c r="T20" s="1037"/>
      <c r="U20" s="1025"/>
      <c r="V20" s="1026"/>
      <c r="W20" s="1026"/>
      <c r="X20" s="1026"/>
      <c r="Y20" s="1026"/>
      <c r="Z20" s="677"/>
      <c r="AA20" s="674" t="str">
        <f t="shared" si="0"/>
        <v/>
      </c>
      <c r="AB20" s="1090" t="str">
        <f t="shared" si="1"/>
        <v/>
      </c>
      <c r="AC20" s="1090"/>
      <c r="AD20" s="1090"/>
      <c r="AE20" s="1090"/>
      <c r="AF20" s="1090"/>
      <c r="AG20" s="1090"/>
      <c r="AH20" s="1090"/>
    </row>
    <row r="21" spans="2:34" s="593" customFormat="1" ht="44.55" customHeight="1" x14ac:dyDescent="0.3">
      <c r="B21" s="989"/>
      <c r="C21" s="990"/>
      <c r="D21" s="991"/>
      <c r="E21" s="1025"/>
      <c r="F21" s="1026"/>
      <c r="G21" s="1026"/>
      <c r="H21" s="1026"/>
      <c r="I21" s="1026"/>
      <c r="J21" s="1027"/>
      <c r="K21" s="1028"/>
      <c r="L21" s="1029"/>
      <c r="M21" s="1028"/>
      <c r="N21" s="1029"/>
      <c r="O21" s="1048"/>
      <c r="P21" s="1049"/>
      <c r="Q21" s="1049"/>
      <c r="R21" s="1050"/>
      <c r="S21" s="1036"/>
      <c r="T21" s="1037"/>
      <c r="U21" s="1025"/>
      <c r="V21" s="1026"/>
      <c r="W21" s="1026"/>
      <c r="X21" s="1026"/>
      <c r="Y21" s="1026"/>
      <c r="Z21" s="677"/>
      <c r="AA21" s="674" t="str">
        <f t="shared" si="0"/>
        <v/>
      </c>
      <c r="AB21" s="1090" t="str">
        <f t="shared" si="1"/>
        <v/>
      </c>
      <c r="AC21" s="1090"/>
      <c r="AD21" s="1090"/>
      <c r="AE21" s="1090"/>
      <c r="AF21" s="1090"/>
      <c r="AG21" s="1090"/>
      <c r="AH21" s="1090"/>
    </row>
    <row r="22" spans="2:34" s="593" customFormat="1" ht="44.55" customHeight="1" x14ac:dyDescent="0.3">
      <c r="B22" s="989"/>
      <c r="C22" s="990"/>
      <c r="D22" s="991"/>
      <c r="E22" s="1025"/>
      <c r="F22" s="1026"/>
      <c r="G22" s="1026"/>
      <c r="H22" s="1026"/>
      <c r="I22" s="1026"/>
      <c r="J22" s="1027"/>
      <c r="K22" s="1028"/>
      <c r="L22" s="1029"/>
      <c r="M22" s="1028"/>
      <c r="N22" s="1029"/>
      <c r="O22" s="1048"/>
      <c r="P22" s="1049"/>
      <c r="Q22" s="1049"/>
      <c r="R22" s="1050"/>
      <c r="S22" s="1036"/>
      <c r="T22" s="1037"/>
      <c r="U22" s="1025"/>
      <c r="V22" s="1026"/>
      <c r="W22" s="1026"/>
      <c r="X22" s="1026"/>
      <c r="Y22" s="1026"/>
      <c r="Z22" s="677"/>
      <c r="AA22" s="674" t="str">
        <f t="shared" si="0"/>
        <v/>
      </c>
      <c r="AB22" s="1090" t="str">
        <f t="shared" si="1"/>
        <v/>
      </c>
      <c r="AC22" s="1090"/>
      <c r="AD22" s="1090"/>
      <c r="AE22" s="1090"/>
      <c r="AF22" s="1090"/>
      <c r="AG22" s="1090"/>
      <c r="AH22" s="1090"/>
    </row>
    <row r="23" spans="2:34" s="593" customFormat="1" ht="44.55" customHeight="1" x14ac:dyDescent="0.3">
      <c r="B23" s="989"/>
      <c r="C23" s="990"/>
      <c r="D23" s="991"/>
      <c r="E23" s="1025"/>
      <c r="F23" s="1026"/>
      <c r="G23" s="1026"/>
      <c r="H23" s="1026"/>
      <c r="I23" s="1026"/>
      <c r="J23" s="1027"/>
      <c r="K23" s="1028"/>
      <c r="L23" s="1029"/>
      <c r="M23" s="1028"/>
      <c r="N23" s="1029"/>
      <c r="O23" s="1048"/>
      <c r="P23" s="1049"/>
      <c r="Q23" s="1049"/>
      <c r="R23" s="1050"/>
      <c r="S23" s="1036"/>
      <c r="T23" s="1037"/>
      <c r="U23" s="1025"/>
      <c r="V23" s="1026"/>
      <c r="W23" s="1026"/>
      <c r="X23" s="1026"/>
      <c r="Y23" s="1026"/>
      <c r="Z23" s="677"/>
      <c r="AA23" s="674" t="str">
        <f t="shared" si="0"/>
        <v/>
      </c>
      <c r="AB23" s="1090" t="str">
        <f t="shared" si="1"/>
        <v/>
      </c>
      <c r="AC23" s="1090"/>
      <c r="AD23" s="1090"/>
      <c r="AE23" s="1090"/>
      <c r="AF23" s="1090"/>
      <c r="AG23" s="1090"/>
      <c r="AH23" s="1090"/>
    </row>
    <row r="24" spans="2:34" s="593" customFormat="1" ht="44.55" customHeight="1" x14ac:dyDescent="0.3">
      <c r="B24" s="989"/>
      <c r="C24" s="990"/>
      <c r="D24" s="991"/>
      <c r="E24" s="1025"/>
      <c r="F24" s="1026"/>
      <c r="G24" s="1026"/>
      <c r="H24" s="1026"/>
      <c r="I24" s="1026"/>
      <c r="J24" s="1027"/>
      <c r="K24" s="1028"/>
      <c r="L24" s="1029"/>
      <c r="M24" s="1028"/>
      <c r="N24" s="1029"/>
      <c r="O24" s="1048"/>
      <c r="P24" s="1049"/>
      <c r="Q24" s="1049"/>
      <c r="R24" s="1050"/>
      <c r="S24" s="1036"/>
      <c r="T24" s="1037"/>
      <c r="U24" s="1025"/>
      <c r="V24" s="1026"/>
      <c r="W24" s="1026"/>
      <c r="X24" s="1026"/>
      <c r="Y24" s="1026"/>
      <c r="Z24" s="677"/>
      <c r="AA24" s="674" t="str">
        <f t="shared" si="0"/>
        <v/>
      </c>
      <c r="AB24" s="1090" t="str">
        <f t="shared" si="1"/>
        <v/>
      </c>
      <c r="AC24" s="1090"/>
      <c r="AD24" s="1090"/>
      <c r="AE24" s="1090"/>
      <c r="AF24" s="1090"/>
      <c r="AG24" s="1090"/>
      <c r="AH24" s="1090"/>
    </row>
    <row r="25" spans="2:34" s="593" customFormat="1" ht="44.55" customHeight="1" x14ac:dyDescent="0.3">
      <c r="B25" s="989"/>
      <c r="C25" s="990"/>
      <c r="D25" s="991"/>
      <c r="E25" s="1025"/>
      <c r="F25" s="1026"/>
      <c r="G25" s="1026"/>
      <c r="H25" s="1026"/>
      <c r="I25" s="1026"/>
      <c r="J25" s="1027"/>
      <c r="K25" s="1084"/>
      <c r="L25" s="1085"/>
      <c r="M25" s="1028"/>
      <c r="N25" s="1029"/>
      <c r="O25" s="1048"/>
      <c r="P25" s="1049"/>
      <c r="Q25" s="1049"/>
      <c r="R25" s="1050"/>
      <c r="S25" s="1036"/>
      <c r="T25" s="1037"/>
      <c r="U25" s="1025"/>
      <c r="V25" s="1026"/>
      <c r="W25" s="1026"/>
      <c r="X25" s="1026"/>
      <c r="Y25" s="1026"/>
      <c r="Z25" s="677"/>
      <c r="AA25" s="674" t="str">
        <f t="shared" si="0"/>
        <v/>
      </c>
      <c r="AB25" s="1090" t="str">
        <f t="shared" si="1"/>
        <v/>
      </c>
      <c r="AC25" s="1090"/>
      <c r="AD25" s="1090"/>
      <c r="AE25" s="1090"/>
      <c r="AF25" s="1090"/>
      <c r="AG25" s="1090"/>
      <c r="AH25" s="1090"/>
    </row>
    <row r="26" spans="2:34" s="593" customFormat="1" ht="44.55" customHeight="1" x14ac:dyDescent="0.3">
      <c r="B26" s="989"/>
      <c r="C26" s="990"/>
      <c r="D26" s="991"/>
      <c r="E26" s="1025"/>
      <c r="F26" s="1026"/>
      <c r="G26" s="1026"/>
      <c r="H26" s="1026"/>
      <c r="I26" s="1026"/>
      <c r="J26" s="1027"/>
      <c r="K26" s="1028"/>
      <c r="L26" s="1029"/>
      <c r="M26" s="1028"/>
      <c r="N26" s="1029"/>
      <c r="O26" s="1048"/>
      <c r="P26" s="1049"/>
      <c r="Q26" s="1049"/>
      <c r="R26" s="1050"/>
      <c r="S26" s="1036"/>
      <c r="T26" s="1037"/>
      <c r="U26" s="1025"/>
      <c r="V26" s="1026"/>
      <c r="W26" s="1026"/>
      <c r="X26" s="1026"/>
      <c r="Y26" s="1026"/>
      <c r="Z26" s="677"/>
      <c r="AA26" s="674" t="str">
        <f t="shared" si="0"/>
        <v/>
      </c>
      <c r="AB26" s="1090" t="str">
        <f t="shared" si="1"/>
        <v/>
      </c>
      <c r="AC26" s="1090"/>
      <c r="AD26" s="1090"/>
      <c r="AE26" s="1090"/>
      <c r="AF26" s="1090"/>
      <c r="AG26" s="1090"/>
      <c r="AH26" s="1090"/>
    </row>
    <row r="27" spans="2:34" s="593" customFormat="1" ht="44.55" customHeight="1" x14ac:dyDescent="0.3">
      <c r="B27" s="989"/>
      <c r="C27" s="990"/>
      <c r="D27" s="991"/>
      <c r="E27" s="1025"/>
      <c r="F27" s="1026"/>
      <c r="G27" s="1026"/>
      <c r="H27" s="1026"/>
      <c r="I27" s="1026"/>
      <c r="J27" s="1027"/>
      <c r="K27" s="1028"/>
      <c r="L27" s="1029"/>
      <c r="M27" s="1028"/>
      <c r="N27" s="1029"/>
      <c r="O27" s="1048"/>
      <c r="P27" s="1049"/>
      <c r="Q27" s="1049"/>
      <c r="R27" s="1050"/>
      <c r="S27" s="1036"/>
      <c r="T27" s="1037"/>
      <c r="U27" s="1025"/>
      <c r="V27" s="1026"/>
      <c r="W27" s="1026"/>
      <c r="X27" s="1026"/>
      <c r="Y27" s="1026"/>
      <c r="Z27" s="677"/>
      <c r="AA27" s="674" t="str">
        <f t="shared" si="0"/>
        <v/>
      </c>
      <c r="AB27" s="1090" t="str">
        <f t="shared" si="1"/>
        <v/>
      </c>
      <c r="AC27" s="1090"/>
      <c r="AD27" s="1090"/>
      <c r="AE27" s="1090"/>
      <c r="AF27" s="1090"/>
      <c r="AG27" s="1090"/>
      <c r="AH27" s="1090"/>
    </row>
    <row r="28" spans="2:34" s="593" customFormat="1" ht="44.55" customHeight="1" x14ac:dyDescent="0.3">
      <c r="B28" s="989"/>
      <c r="C28" s="990"/>
      <c r="D28" s="991"/>
      <c r="E28" s="1025"/>
      <c r="F28" s="1026"/>
      <c r="G28" s="1026"/>
      <c r="H28" s="1026"/>
      <c r="I28" s="1026"/>
      <c r="J28" s="1027"/>
      <c r="K28" s="1028"/>
      <c r="L28" s="1029"/>
      <c r="M28" s="1028"/>
      <c r="N28" s="1029"/>
      <c r="O28" s="1048"/>
      <c r="P28" s="1049"/>
      <c r="Q28" s="1049"/>
      <c r="R28" s="1050"/>
      <c r="S28" s="1036"/>
      <c r="T28" s="1037"/>
      <c r="U28" s="1025"/>
      <c r="V28" s="1026"/>
      <c r="W28" s="1026"/>
      <c r="X28" s="1026"/>
      <c r="Y28" s="1026"/>
      <c r="Z28" s="677"/>
      <c r="AA28" s="674" t="str">
        <f t="shared" si="0"/>
        <v/>
      </c>
      <c r="AB28" s="1090" t="str">
        <f t="shared" si="1"/>
        <v/>
      </c>
      <c r="AC28" s="1090"/>
      <c r="AD28" s="1090"/>
      <c r="AE28" s="1090"/>
      <c r="AF28" s="1090"/>
      <c r="AG28" s="1090"/>
      <c r="AH28" s="1090"/>
    </row>
    <row r="29" spans="2:34" s="593" customFormat="1" ht="44.55" customHeight="1" x14ac:dyDescent="0.3">
      <c r="B29" s="989"/>
      <c r="C29" s="990"/>
      <c r="D29" s="991"/>
      <c r="E29" s="1025"/>
      <c r="F29" s="1026"/>
      <c r="G29" s="1026"/>
      <c r="H29" s="1026"/>
      <c r="I29" s="1026"/>
      <c r="J29" s="1027"/>
      <c r="K29" s="1028"/>
      <c r="L29" s="1029"/>
      <c r="M29" s="1028"/>
      <c r="N29" s="1029"/>
      <c r="O29" s="1048"/>
      <c r="P29" s="1049"/>
      <c r="Q29" s="1049"/>
      <c r="R29" s="1050"/>
      <c r="S29" s="1036"/>
      <c r="T29" s="1037"/>
      <c r="U29" s="1025"/>
      <c r="V29" s="1026"/>
      <c r="W29" s="1026"/>
      <c r="X29" s="1026"/>
      <c r="Y29" s="1026"/>
      <c r="Z29" s="677"/>
      <c r="AA29" s="674" t="str">
        <f t="shared" si="0"/>
        <v/>
      </c>
      <c r="AB29" s="1090" t="str">
        <f t="shared" si="1"/>
        <v/>
      </c>
      <c r="AC29" s="1090"/>
      <c r="AD29" s="1090"/>
      <c r="AE29" s="1090"/>
      <c r="AF29" s="1090"/>
      <c r="AG29" s="1090"/>
      <c r="AH29" s="1090"/>
    </row>
    <row r="30" spans="2:34" s="593" customFormat="1" ht="44.55" customHeight="1" x14ac:dyDescent="0.3">
      <c r="B30" s="989"/>
      <c r="C30" s="990"/>
      <c r="D30" s="991"/>
      <c r="E30" s="1025"/>
      <c r="F30" s="1026"/>
      <c r="G30" s="1026"/>
      <c r="H30" s="1026"/>
      <c r="I30" s="1026"/>
      <c r="J30" s="1027"/>
      <c r="K30" s="1028"/>
      <c r="L30" s="1029"/>
      <c r="M30" s="1028"/>
      <c r="N30" s="1029"/>
      <c r="O30" s="1048"/>
      <c r="P30" s="1049"/>
      <c r="Q30" s="1049"/>
      <c r="R30" s="1050"/>
      <c r="S30" s="1036"/>
      <c r="T30" s="1037"/>
      <c r="U30" s="1025"/>
      <c r="V30" s="1026"/>
      <c r="W30" s="1026"/>
      <c r="X30" s="1026"/>
      <c r="Y30" s="1026"/>
      <c r="Z30" s="677"/>
      <c r="AA30" s="674" t="str">
        <f t="shared" si="0"/>
        <v/>
      </c>
      <c r="AB30" s="1090" t="str">
        <f t="shared" si="1"/>
        <v/>
      </c>
      <c r="AC30" s="1090"/>
      <c r="AD30" s="1090"/>
      <c r="AE30" s="1090"/>
      <c r="AF30" s="1090"/>
      <c r="AG30" s="1090"/>
      <c r="AH30" s="1090"/>
    </row>
    <row r="31" spans="2:34" s="593" customFormat="1" ht="44.55" customHeight="1" thickBot="1" x14ac:dyDescent="0.35">
      <c r="B31" s="1076"/>
      <c r="C31" s="1077"/>
      <c r="D31" s="1078"/>
      <c r="E31" s="1034"/>
      <c r="F31" s="1035"/>
      <c r="G31" s="1035"/>
      <c r="H31" s="1035"/>
      <c r="I31" s="1035"/>
      <c r="J31" s="1083"/>
      <c r="K31" s="1043"/>
      <c r="L31" s="1044"/>
      <c r="M31" s="1043"/>
      <c r="N31" s="1044"/>
      <c r="O31" s="1080"/>
      <c r="P31" s="1081"/>
      <c r="Q31" s="1081"/>
      <c r="R31" s="1082"/>
      <c r="S31" s="1036"/>
      <c r="T31" s="1037"/>
      <c r="U31" s="1034"/>
      <c r="V31" s="1035"/>
      <c r="W31" s="1035"/>
      <c r="X31" s="1035"/>
      <c r="Y31" s="1035"/>
      <c r="Z31" s="678"/>
      <c r="AA31" s="674" t="str">
        <f t="shared" si="0"/>
        <v/>
      </c>
      <c r="AB31" s="1090" t="str">
        <f t="shared" si="1"/>
        <v/>
      </c>
      <c r="AC31" s="1090"/>
      <c r="AD31" s="1090"/>
      <c r="AE31" s="1090"/>
      <c r="AF31" s="1090"/>
      <c r="AG31" s="1090"/>
      <c r="AH31" s="1090"/>
    </row>
    <row r="32" spans="2:34" ht="16.05" customHeight="1" thickBot="1" x14ac:dyDescent="0.35">
      <c r="B32" s="1070"/>
      <c r="C32" s="1068"/>
      <c r="D32" s="1069"/>
      <c r="E32" s="1070"/>
      <c r="F32" s="1068"/>
      <c r="G32" s="1068"/>
      <c r="H32" s="1068"/>
      <c r="I32" s="1068"/>
      <c r="J32" s="1069"/>
      <c r="K32" s="987">
        <f>SUM(K10:L31)</f>
        <v>0</v>
      </c>
      <c r="L32" s="988"/>
      <c r="M32" s="987">
        <f>SUM(M10:N31)</f>
        <v>0</v>
      </c>
      <c r="N32" s="988"/>
      <c r="O32" s="1045"/>
      <c r="P32" s="1046"/>
      <c r="Q32" s="1046"/>
      <c r="R32" s="1047"/>
      <c r="S32" s="656"/>
      <c r="T32" s="656"/>
      <c r="U32" s="1070"/>
      <c r="V32" s="1068"/>
      <c r="W32" s="1068"/>
      <c r="X32" s="1068"/>
      <c r="Y32" s="1068"/>
      <c r="Z32" s="1068"/>
      <c r="AA32" s="1069"/>
    </row>
    <row r="33" spans="2:27" ht="31.5" customHeight="1" x14ac:dyDescent="0.3"/>
    <row r="34" spans="2:27" ht="19.5" customHeight="1" thickBot="1" x14ac:dyDescent="0.35"/>
    <row r="35" spans="2:27" ht="38.1" customHeight="1" thickBot="1" x14ac:dyDescent="0.35">
      <c r="B35" s="984" t="s">
        <v>39</v>
      </c>
      <c r="C35" s="985"/>
      <c r="D35" s="985"/>
      <c r="E35" s="985"/>
      <c r="F35" s="985"/>
      <c r="G35" s="985"/>
      <c r="H35" s="985"/>
      <c r="I35" s="985"/>
      <c r="J35" s="985"/>
      <c r="K35" s="986" t="s">
        <v>40</v>
      </c>
      <c r="L35" s="986"/>
      <c r="M35" s="1086"/>
      <c r="N35" s="1086"/>
      <c r="O35" s="1079" t="s">
        <v>41</v>
      </c>
      <c r="P35" s="1079"/>
      <c r="Q35" s="1087"/>
      <c r="R35" s="1087"/>
      <c r="S35" s="657" t="s">
        <v>42</v>
      </c>
      <c r="T35" s="658"/>
      <c r="U35" s="1079" t="s">
        <v>43</v>
      </c>
      <c r="V35" s="1079"/>
      <c r="W35" s="1030">
        <f>M35+Q35+T35</f>
        <v>0</v>
      </c>
      <c r="X35" s="1030"/>
      <c r="Y35" s="1030"/>
      <c r="Z35" s="1030"/>
      <c r="AA35" s="1031"/>
    </row>
    <row r="36" spans="2:27" ht="16.05" customHeight="1" thickBot="1" x14ac:dyDescent="0.35">
      <c r="I36" s="593"/>
      <c r="J36" s="593"/>
      <c r="S36" s="562">
        <f ca="1">SUMIF(S10:S31,"Yes",M11:N31)</f>
        <v>0</v>
      </c>
      <c r="T36" s="562"/>
    </row>
    <row r="37" spans="2:27" ht="15.6" customHeight="1" thickBot="1" x14ac:dyDescent="0.35">
      <c r="B37" s="1016" t="s">
        <v>44</v>
      </c>
      <c r="C37" s="1017"/>
      <c r="D37" s="1017"/>
      <c r="E37" s="1017"/>
      <c r="F37" s="1017"/>
      <c r="G37" s="1017"/>
      <c r="H37" s="1017"/>
      <c r="I37" s="1017"/>
      <c r="J37" s="1018"/>
      <c r="K37" s="583"/>
      <c r="L37" s="583"/>
      <c r="S37" s="592">
        <f ca="1">M32-S36</f>
        <v>0</v>
      </c>
      <c r="T37" s="592"/>
    </row>
    <row r="38" spans="2:27" ht="15.6" customHeight="1" thickBot="1" x14ac:dyDescent="0.35">
      <c r="B38" s="1007" t="s">
        <v>45</v>
      </c>
      <c r="C38" s="1008"/>
      <c r="D38" s="1008"/>
      <c r="E38" s="1008"/>
      <c r="F38" s="1008"/>
      <c r="G38" s="1008"/>
      <c r="H38" s="1008"/>
      <c r="I38" s="1008"/>
      <c r="J38" s="1009"/>
      <c r="K38" s="584"/>
      <c r="L38" s="584"/>
      <c r="R38" s="562"/>
      <c r="S38" s="594">
        <f>SUMIF(S10:S31,"No",M10:N31)</f>
        <v>0</v>
      </c>
      <c r="T38" s="562"/>
    </row>
    <row r="39" spans="2:27" ht="16.05" customHeight="1" x14ac:dyDescent="0.3">
      <c r="B39" s="998" t="s">
        <v>46</v>
      </c>
      <c r="C39" s="999"/>
      <c r="D39" s="999"/>
      <c r="E39" s="999"/>
      <c r="F39" s="999"/>
      <c r="G39" s="999"/>
      <c r="H39" s="1000"/>
      <c r="I39" s="992">
        <f ca="1">K32-S36</f>
        <v>0</v>
      </c>
      <c r="J39" s="993"/>
      <c r="K39" s="585"/>
      <c r="L39" s="585"/>
    </row>
    <row r="40" spans="2:27" x14ac:dyDescent="0.3">
      <c r="B40" s="1001" t="s">
        <v>47</v>
      </c>
      <c r="C40" s="1002"/>
      <c r="D40" s="1002"/>
      <c r="E40" s="1002"/>
      <c r="F40" s="1002"/>
      <c r="G40" s="1002"/>
      <c r="H40" s="1003"/>
      <c r="I40" s="994">
        <f>M32</f>
        <v>0</v>
      </c>
      <c r="J40" s="995"/>
      <c r="K40" s="585"/>
      <c r="L40" s="585"/>
    </row>
    <row r="41" spans="2:27" ht="16.05" customHeight="1" x14ac:dyDescent="0.3">
      <c r="B41" s="1001" t="s">
        <v>48</v>
      </c>
      <c r="C41" s="1002"/>
      <c r="D41" s="1002"/>
      <c r="E41" s="1002"/>
      <c r="F41" s="1002"/>
      <c r="G41" s="1002"/>
      <c r="H41" s="1003"/>
      <c r="I41" s="1019" t="str">
        <f ca="1">IF(OR(M32=0,I39=0),"0.00",(M32/I39))</f>
        <v>0.00</v>
      </c>
      <c r="J41" s="1020"/>
      <c r="K41" s="586"/>
      <c r="L41" s="586"/>
    </row>
    <row r="42" spans="2:27" ht="15.6" customHeight="1" x14ac:dyDescent="0.3">
      <c r="B42" s="1001" t="s">
        <v>49</v>
      </c>
      <c r="C42" s="1002"/>
      <c r="D42" s="1002"/>
      <c r="E42" s="1002"/>
      <c r="F42" s="1002"/>
      <c r="G42" s="1002"/>
      <c r="H42" s="1003"/>
      <c r="I42" s="1021">
        <f ca="1">SUMIF(O10:R31, "Retained",M10:N31)</f>
        <v>0</v>
      </c>
      <c r="J42" s="1022"/>
      <c r="K42" s="587"/>
      <c r="L42" s="587"/>
    </row>
    <row r="43" spans="2:27" x14ac:dyDescent="0.3">
      <c r="B43" s="1001" t="s">
        <v>50</v>
      </c>
      <c r="C43" s="1002"/>
      <c r="D43" s="1002"/>
      <c r="E43" s="1002"/>
      <c r="F43" s="1002"/>
      <c r="G43" s="1002"/>
      <c r="H43" s="1003"/>
      <c r="I43" s="1021">
        <f ca="1">SUMIF(O10:R31,"Enhanced",M11:N31)</f>
        <v>0</v>
      </c>
      <c r="J43" s="1022"/>
      <c r="K43" s="587"/>
      <c r="L43" s="587"/>
    </row>
    <row r="44" spans="2:27" ht="16.05" customHeight="1" thickBot="1" x14ac:dyDescent="0.35">
      <c r="B44" s="1004" t="s">
        <v>51</v>
      </c>
      <c r="C44" s="1005"/>
      <c r="D44" s="1005"/>
      <c r="E44" s="1005"/>
      <c r="F44" s="1005"/>
      <c r="G44" s="1005"/>
      <c r="H44" s="1006"/>
      <c r="I44" s="1023">
        <f ca="1">SUMIF(O10:R31, "Lost",M10:N31)</f>
        <v>0</v>
      </c>
      <c r="J44" s="1024"/>
      <c r="K44" s="584"/>
      <c r="L44" s="584"/>
      <c r="O44" s="562" t="s">
        <v>52</v>
      </c>
    </row>
    <row r="45" spans="2:27" ht="16.05" customHeight="1" thickBot="1" x14ac:dyDescent="0.35">
      <c r="B45" s="1007" t="s">
        <v>53</v>
      </c>
      <c r="C45" s="1008"/>
      <c r="D45" s="1008"/>
      <c r="E45" s="1008"/>
      <c r="F45" s="1008"/>
      <c r="G45" s="1008"/>
      <c r="H45" s="1008"/>
      <c r="I45" s="1008"/>
      <c r="J45" s="1009"/>
      <c r="K45" s="588"/>
      <c r="L45" s="588"/>
      <c r="O45" s="562" t="s">
        <v>54</v>
      </c>
    </row>
    <row r="46" spans="2:27" ht="15.6" customHeight="1" x14ac:dyDescent="0.3">
      <c r="B46" s="998" t="s">
        <v>55</v>
      </c>
      <c r="C46" s="999"/>
      <c r="D46" s="999"/>
      <c r="E46" s="999"/>
      <c r="F46" s="999"/>
      <c r="G46" s="999"/>
      <c r="H46" s="1000"/>
      <c r="I46" s="1010">
        <f ca="1">SUMIF(B10:D31, "=Hedgerows",K10:L31)</f>
        <v>0</v>
      </c>
      <c r="J46" s="1011"/>
      <c r="K46" s="588"/>
      <c r="L46" s="588"/>
    </row>
    <row r="47" spans="2:27" x14ac:dyDescent="0.3">
      <c r="B47" s="1001" t="s">
        <v>56</v>
      </c>
      <c r="C47" s="1002"/>
      <c r="D47" s="1002"/>
      <c r="E47" s="1002"/>
      <c r="F47" s="1002"/>
      <c r="G47" s="1002"/>
      <c r="H47" s="1003"/>
      <c r="I47" s="1012">
        <f>SUM(SUMIFS(K10:K31,B10:B31, ("=Hedgerows"),O10:O31, ("=Retained")))</f>
        <v>0</v>
      </c>
      <c r="J47" s="1013"/>
      <c r="K47" s="588"/>
      <c r="L47" s="588"/>
      <c r="O47" s="562" t="s">
        <v>53</v>
      </c>
    </row>
    <row r="48" spans="2:27" x14ac:dyDescent="0.3">
      <c r="B48" s="1001" t="s">
        <v>57</v>
      </c>
      <c r="C48" s="1002"/>
      <c r="D48" s="1002"/>
      <c r="E48" s="1002"/>
      <c r="F48" s="1002"/>
      <c r="G48" s="1002"/>
      <c r="H48" s="1003"/>
      <c r="I48" s="1012">
        <f>SUM(SUMIFS(K10:K31,B10:B31, ("=Hedgerows"),O10:O31, ("=Enhanced")))</f>
        <v>0</v>
      </c>
      <c r="J48" s="1013"/>
      <c r="K48" s="584"/>
      <c r="L48" s="584"/>
      <c r="O48" s="562" t="s">
        <v>52</v>
      </c>
    </row>
    <row r="49" spans="2:12" ht="16.05" customHeight="1" thickBot="1" x14ac:dyDescent="0.35">
      <c r="B49" s="1004" t="s">
        <v>58</v>
      </c>
      <c r="C49" s="1005"/>
      <c r="D49" s="1005"/>
      <c r="E49" s="1005"/>
      <c r="F49" s="1005"/>
      <c r="G49" s="1005"/>
      <c r="H49" s="1006"/>
      <c r="I49" s="1014">
        <f>SUM(SUMIFS(K10:K31,B10:B31, ("=Hedgerows"),O10:O31, ("=Lost")))</f>
        <v>0</v>
      </c>
      <c r="J49" s="1015"/>
      <c r="K49" s="585"/>
      <c r="L49" s="585"/>
    </row>
    <row r="50" spans="2:12" ht="16.2" thickBot="1" x14ac:dyDescent="0.35">
      <c r="B50" s="671" t="s">
        <v>59</v>
      </c>
      <c r="C50" s="672"/>
      <c r="D50" s="672"/>
      <c r="E50" s="672"/>
      <c r="F50" s="672"/>
      <c r="G50" s="672"/>
      <c r="H50" s="672"/>
      <c r="I50" s="672"/>
      <c r="J50" s="673"/>
      <c r="K50" s="589"/>
      <c r="L50" s="589"/>
    </row>
    <row r="51" spans="2:12" ht="15.6" customHeight="1" x14ac:dyDescent="0.3">
      <c r="B51" s="998" t="s">
        <v>1677</v>
      </c>
      <c r="C51" s="999"/>
      <c r="D51" s="999"/>
      <c r="E51" s="999"/>
      <c r="F51" s="999"/>
      <c r="G51" s="999"/>
      <c r="H51" s="1000"/>
      <c r="I51" s="992">
        <f ca="1">SUMIF(B10:D31, "=Watercourse",K10:L31)</f>
        <v>0</v>
      </c>
      <c r="J51" s="993"/>
      <c r="K51" s="589"/>
      <c r="L51" s="589"/>
    </row>
    <row r="52" spans="2:12" x14ac:dyDescent="0.3">
      <c r="B52" s="1001" t="s">
        <v>60</v>
      </c>
      <c r="C52" s="1002"/>
      <c r="D52" s="1002"/>
      <c r="E52" s="1002"/>
      <c r="F52" s="1002"/>
      <c r="G52" s="1002"/>
      <c r="H52" s="1003"/>
      <c r="I52" s="994">
        <f>SUMIFS(K10:K32,B10:B32, "=Watercourse", O10:O32, "=Retained")</f>
        <v>0</v>
      </c>
      <c r="J52" s="995"/>
    </row>
    <row r="53" spans="2:12" x14ac:dyDescent="0.3">
      <c r="B53" s="1001" t="s">
        <v>1678</v>
      </c>
      <c r="C53" s="1002"/>
      <c r="D53" s="1002"/>
      <c r="E53" s="1002"/>
      <c r="F53" s="1002"/>
      <c r="G53" s="1002"/>
      <c r="H53" s="1003"/>
      <c r="I53" s="994">
        <f>SUMIFS(K10:K31,B10:B31, "=Watercourse", O10:O31, "=Enhanced")</f>
        <v>0</v>
      </c>
      <c r="J53" s="995"/>
    </row>
    <row r="54" spans="2:12" ht="16.05" customHeight="1" thickBot="1" x14ac:dyDescent="0.35">
      <c r="B54" s="1004" t="s">
        <v>61</v>
      </c>
      <c r="C54" s="1005"/>
      <c r="D54" s="1005"/>
      <c r="E54" s="1005"/>
      <c r="F54" s="1005"/>
      <c r="G54" s="1005"/>
      <c r="H54" s="1006"/>
      <c r="I54" s="996">
        <f>SUM(SUMIFS(K10:K31,B10:B31, ("=Watercourse"),O10:O31, ("=Lost")))</f>
        <v>0</v>
      </c>
      <c r="J54" s="997"/>
    </row>
    <row r="61" spans="2:12" ht="15" hidden="1" customHeight="1" x14ac:dyDescent="0.3"/>
    <row r="62" spans="2:12" hidden="1" x14ac:dyDescent="0.3"/>
    <row r="63" spans="2:12" hidden="1" x14ac:dyDescent="0.3"/>
    <row r="64" spans="2:12"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sheetProtection algorithmName="SHA-512" hashValue="YMkXk1eXpkaAdBD/7T6eccjk3oWF7nLiSrVDFuSmShDQKawEFP1qGDjKOCG/8JpBK11y/k9MUoBOIStqXAFIJw==" saltValue="yheT5PdqJxW0867KK5WsVQ==" spinCount="100000" sheet="1" objects="1" scenarios="1"/>
  <mergeCells count="231">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B39:H39"/>
    <mergeCell ref="B40:H40"/>
    <mergeCell ref="B41:H41"/>
    <mergeCell ref="B42:H42"/>
    <mergeCell ref="B43:H43"/>
    <mergeCell ref="B44:H44"/>
    <mergeCell ref="I39:J39"/>
    <mergeCell ref="I40:J40"/>
    <mergeCell ref="I41:J41"/>
    <mergeCell ref="I42:J42"/>
    <mergeCell ref="I43:J43"/>
    <mergeCell ref="I44:J44"/>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s>
  <conditionalFormatting sqref="B10:D31">
    <cfRule type="containsBlanks" priority="6">
      <formula>LEN(TRIM(B10))=0</formula>
    </cfRule>
    <cfRule type="containsText" dxfId="714" priority="9" operator="containsText" text="Area">
      <formula>NOT(ISERROR(SEARCH("Area",B10)))</formula>
    </cfRule>
    <cfRule type="containsText" dxfId="713" priority="10" operator="containsText" text="Watercourses">
      <formula>NOT(ISERROR(SEARCH("Watercourses",B10)))</formula>
    </cfRule>
    <cfRule type="containsText" dxfId="712" priority="11" operator="containsText" text="Hedgerows">
      <formula>NOT(ISERROR(SEARCH("Hedgerows",B10)))</formula>
    </cfRule>
  </conditionalFormatting>
  <conditionalFormatting sqref="K10:L31">
    <cfRule type="expression" dxfId="711" priority="4">
      <formula>B10="Area habitats"</formula>
    </cfRule>
  </conditionalFormatting>
  <conditionalFormatting sqref="M10 M11:N31">
    <cfRule type="expression" dxfId="710" priority="7">
      <formula>B10="Hedgerows"</formula>
    </cfRule>
    <cfRule type="expression" dxfId="709" priority="8">
      <formula>B10="Watercourses"</formula>
    </cfRule>
  </conditionalFormatting>
  <conditionalFormatting sqref="AA10:AA31">
    <cfRule type="containsText" dxfId="708" priority="1" operator="containsText" text="▲">
      <formula>NOT(ISERROR(SEARCH("▲",AA10)))</formula>
    </cfRule>
  </conditionalFormatting>
  <conditionalFormatting sqref="AB10:AB31">
    <cfRule type="containsText" dxfId="707"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25" zoomScale="80" zoomScaleNormal="80" workbookViewId="0"/>
  </sheetViews>
  <sheetFormatPr defaultColWidth="0" defaultRowHeight="0" customHeight="1" zeroHeight="1" x14ac:dyDescent="0.3"/>
  <cols>
    <col min="1" max="3" width="2.21875" style="1" customWidth="1"/>
    <col min="4" max="4" width="18.77734375" style="1" customWidth="1"/>
    <col min="5" max="8" width="9.21875" style="1" customWidth="1"/>
    <col min="9" max="9" width="7" style="1" customWidth="1"/>
    <col min="10" max="12" width="9.21875" style="1" customWidth="1"/>
    <col min="13" max="13" width="12.21875" style="1" customWidth="1"/>
    <col min="14" max="14" width="5.77734375" style="1" customWidth="1"/>
    <col min="15" max="15" width="9.21875" style="1" customWidth="1"/>
    <col min="16" max="16" width="30" style="1" customWidth="1"/>
    <col min="17" max="17" width="13.77734375" style="1" bestFit="1" customWidth="1"/>
    <col min="18" max="18" width="12.77734375" style="1" bestFit="1" customWidth="1"/>
    <col min="19" max="19" width="9.21875" style="1" customWidth="1"/>
    <col min="20" max="20" width="12.77734375" style="1" bestFit="1" customWidth="1"/>
    <col min="21" max="21" width="8.21875" style="1" customWidth="1"/>
    <col min="22" max="22" width="12.77734375" style="1" bestFit="1" customWidth="1"/>
    <col min="23" max="23" width="9.5546875" style="1" customWidth="1"/>
    <col min="24" max="31" width="9.21875" style="1" customWidth="1"/>
    <col min="32" max="16384" width="9.21875" style="1" hidden="1"/>
  </cols>
  <sheetData>
    <row r="1" spans="1:23" ht="15.75" customHeight="1" x14ac:dyDescent="0.6">
      <c r="B1" s="2"/>
      <c r="C1" s="2"/>
      <c r="E1" s="6"/>
      <c r="F1" s="1096"/>
      <c r="G1" s="1096"/>
      <c r="H1" s="1096"/>
      <c r="I1" s="1096"/>
      <c r="J1" s="1096"/>
      <c r="K1" s="1097"/>
      <c r="L1" s="1097"/>
      <c r="M1" s="1097"/>
      <c r="N1" s="1097"/>
      <c r="O1" s="1097"/>
    </row>
    <row r="2" spans="1:23" ht="15.75" customHeight="1" x14ac:dyDescent="0.3">
      <c r="B2" s="2"/>
      <c r="C2" s="2"/>
      <c r="D2" s="1101"/>
      <c r="E2" s="1101"/>
    </row>
    <row r="3" spans="1:23" ht="15.75" customHeight="1" x14ac:dyDescent="0.6">
      <c r="A3" s="6"/>
      <c r="B3" s="6"/>
      <c r="C3" s="6"/>
      <c r="D3" s="6"/>
      <c r="E3" s="6"/>
      <c r="F3" s="7"/>
      <c r="G3" s="7"/>
      <c r="H3" s="7"/>
      <c r="I3" s="7"/>
      <c r="J3" s="7"/>
      <c r="K3" s="7"/>
      <c r="L3" s="7"/>
      <c r="M3" s="7"/>
      <c r="N3" s="7"/>
      <c r="O3" s="7"/>
      <c r="P3" s="7"/>
      <c r="Q3" s="1094" t="s">
        <v>62</v>
      </c>
      <c r="R3" s="1095"/>
      <c r="S3" s="1095"/>
    </row>
    <row r="4" spans="1:23" ht="35.25" customHeight="1" x14ac:dyDescent="0.6">
      <c r="A4" s="6"/>
      <c r="B4" s="6"/>
      <c r="C4" s="6"/>
      <c r="D4" s="6"/>
      <c r="E4" s="6"/>
      <c r="F4" s="7"/>
      <c r="G4" s="7"/>
      <c r="H4" s="7"/>
      <c r="I4" s="7"/>
      <c r="J4" s="7"/>
      <c r="K4" s="7"/>
      <c r="L4" s="7"/>
      <c r="M4" s="7"/>
      <c r="N4" s="7"/>
      <c r="O4" s="7"/>
      <c r="P4" s="7"/>
      <c r="Q4" s="1099" t="s">
        <v>63</v>
      </c>
      <c r="R4" s="1092" t="s">
        <v>64</v>
      </c>
      <c r="S4" s="1092"/>
      <c r="T4" s="1092"/>
      <c r="U4" s="1092"/>
      <c r="V4" s="1092"/>
      <c r="W4" s="1093"/>
    </row>
    <row r="5" spans="1:23" ht="16.5" customHeight="1" x14ac:dyDescent="0.6">
      <c r="A5" s="6"/>
      <c r="B5" s="6"/>
      <c r="C5" s="6"/>
      <c r="D5" s="6"/>
      <c r="E5" s="6"/>
      <c r="F5" s="4"/>
      <c r="G5" s="4"/>
      <c r="H5" s="4"/>
      <c r="I5" s="4"/>
      <c r="J5" s="4"/>
      <c r="K5" s="4"/>
      <c r="L5" s="4"/>
      <c r="M5" s="4"/>
      <c r="N5" s="4"/>
      <c r="O5" s="4"/>
      <c r="P5" s="4"/>
      <c r="Q5" s="1100"/>
      <c r="R5" s="473" t="s">
        <v>65</v>
      </c>
      <c r="S5" s="474" t="s">
        <v>66</v>
      </c>
      <c r="T5" s="475" t="s">
        <v>67</v>
      </c>
      <c r="U5" s="474" t="s">
        <v>66</v>
      </c>
      <c r="V5" s="474" t="s">
        <v>68</v>
      </c>
      <c r="W5" s="474" t="s">
        <v>66</v>
      </c>
    </row>
    <row r="6" spans="1:23" ht="16.5" customHeight="1" x14ac:dyDescent="0.6">
      <c r="B6" s="2"/>
      <c r="C6" s="2"/>
      <c r="D6" s="6"/>
      <c r="E6" s="6"/>
      <c r="F6" s="4"/>
      <c r="G6" s="4"/>
      <c r="H6" s="4"/>
      <c r="I6" s="4"/>
      <c r="J6" s="4"/>
      <c r="K6" s="4"/>
      <c r="L6" s="4"/>
      <c r="M6" s="4"/>
      <c r="N6" s="4"/>
      <c r="O6" s="4"/>
      <c r="P6" s="4"/>
      <c r="Q6" s="472" t="s">
        <v>69</v>
      </c>
      <c r="R6" s="21"/>
      <c r="S6" s="420">
        <f>R6*'G-3 Multipliers'!$Z$4</f>
        <v>0</v>
      </c>
      <c r="T6" s="21"/>
      <c r="U6" s="420">
        <f>T6*'G-3 Multipliers'!$Z$4</f>
        <v>0</v>
      </c>
      <c r="V6" s="21"/>
      <c r="W6" s="420">
        <f>V6*'G-3 Multipliers'!$Z$4</f>
        <v>0</v>
      </c>
    </row>
    <row r="7" spans="1:23" ht="16.5" customHeight="1" x14ac:dyDescent="0.6">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6">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3">
      <c r="B9" s="2"/>
      <c r="C9" s="2"/>
      <c r="D9" s="3"/>
      <c r="E9" s="3"/>
      <c r="F9" s="4"/>
      <c r="G9" s="4"/>
      <c r="H9" s="4"/>
      <c r="I9" s="4"/>
      <c r="J9" s="4"/>
      <c r="K9" s="4"/>
      <c r="L9" s="4"/>
      <c r="M9" s="4"/>
      <c r="N9" s="4"/>
      <c r="O9" s="4"/>
      <c r="P9" s="4"/>
      <c r="Q9" s="472" t="s">
        <v>72</v>
      </c>
      <c r="R9" s="491">
        <f t="shared" ref="R9:W9" si="0">SUM(R6:R8)</f>
        <v>0</v>
      </c>
      <c r="S9" s="419">
        <f t="shared" si="0"/>
        <v>0</v>
      </c>
      <c r="T9" s="491">
        <f t="shared" si="0"/>
        <v>0</v>
      </c>
      <c r="U9" s="419">
        <f t="shared" si="0"/>
        <v>0</v>
      </c>
      <c r="V9" s="491">
        <f t="shared" si="0"/>
        <v>0</v>
      </c>
      <c r="W9" s="419">
        <f t="shared" si="0"/>
        <v>0</v>
      </c>
    </row>
    <row r="10" spans="1:23" ht="30" customHeight="1" x14ac:dyDescent="0.4">
      <c r="B10" s="2"/>
      <c r="C10" s="2"/>
      <c r="D10" s="5"/>
      <c r="E10" s="5"/>
      <c r="F10" s="1098"/>
      <c r="G10" s="1098"/>
      <c r="H10" s="1098"/>
      <c r="I10" s="1098"/>
      <c r="J10" s="1098"/>
      <c r="K10" s="1098"/>
      <c r="L10" s="1098"/>
      <c r="M10" s="1098"/>
      <c r="N10" s="1098"/>
      <c r="O10" s="1098"/>
      <c r="P10" s="1098"/>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55"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25"/>
  <cols>
    <col min="1" max="3" width="2.21875" style="203" customWidth="1"/>
    <col min="4" max="4" width="18.77734375" style="203" customWidth="1"/>
    <col min="5" max="8" width="9.21875" style="203" customWidth="1"/>
    <col min="9" max="9" width="7" style="203" customWidth="1"/>
    <col min="10" max="12" width="9.21875" style="203" customWidth="1"/>
    <col min="13" max="13" width="12.21875" style="203" customWidth="1"/>
    <col min="14" max="14" width="5.77734375" style="203" customWidth="1"/>
    <col min="15" max="15" width="9.21875" style="203" customWidth="1"/>
    <col min="16" max="16" width="34.5546875" style="203" customWidth="1"/>
    <col min="17" max="17" width="13.77734375" style="203" bestFit="1" customWidth="1"/>
    <col min="18" max="18" width="19.21875" style="203" customWidth="1"/>
    <col min="19" max="31" width="9.21875" style="203" customWidth="1"/>
    <col min="32" max="16384" width="9.21875" style="203" hidden="1"/>
  </cols>
  <sheetData>
    <row r="1" spans="1:18" ht="15.75" customHeight="1" x14ac:dyDescent="0.5">
      <c r="B1" s="204"/>
      <c r="C1" s="204"/>
      <c r="E1" s="205"/>
      <c r="F1" s="1102"/>
      <c r="G1" s="1102"/>
      <c r="H1" s="1102"/>
      <c r="I1" s="1102"/>
      <c r="J1" s="1102"/>
      <c r="K1" s="1103"/>
      <c r="L1" s="1103"/>
      <c r="M1" s="1103"/>
      <c r="N1" s="1103"/>
      <c r="O1" s="1103"/>
    </row>
    <row r="2" spans="1:18" ht="15.75" customHeight="1" x14ac:dyDescent="0.5">
      <c r="B2" s="204"/>
      <c r="C2" s="204"/>
      <c r="E2" s="205"/>
    </row>
    <row r="3" spans="1:18" ht="15.75" customHeight="1" x14ac:dyDescent="0.5">
      <c r="A3" s="205"/>
      <c r="B3" s="205"/>
      <c r="C3" s="205"/>
      <c r="D3" s="205"/>
      <c r="E3" s="205"/>
      <c r="F3" s="206"/>
      <c r="G3" s="206"/>
      <c r="H3" s="206"/>
      <c r="I3" s="206"/>
      <c r="J3" s="206"/>
      <c r="K3" s="206"/>
      <c r="L3" s="206"/>
      <c r="M3" s="206"/>
      <c r="N3" s="206"/>
      <c r="O3" s="206"/>
      <c r="P3" s="206"/>
    </row>
    <row r="4" spans="1:18" ht="16.5" customHeight="1" x14ac:dyDescent="0.5">
      <c r="A4" s="205"/>
      <c r="B4" s="205"/>
      <c r="C4" s="205"/>
      <c r="D4" s="205"/>
      <c r="E4" s="205"/>
      <c r="F4" s="206"/>
      <c r="G4" s="206"/>
      <c r="H4" s="206"/>
      <c r="I4" s="206"/>
      <c r="J4" s="206"/>
      <c r="K4" s="206"/>
      <c r="L4" s="206"/>
      <c r="M4" s="206"/>
      <c r="N4" s="206"/>
      <c r="O4" s="206"/>
      <c r="P4" s="206"/>
    </row>
    <row r="5" spans="1:18" ht="16.5" customHeight="1" x14ac:dyDescent="0.5">
      <c r="A5" s="205"/>
      <c r="B5" s="205"/>
      <c r="C5" s="205"/>
      <c r="D5" s="205"/>
      <c r="E5" s="205"/>
      <c r="F5" s="207"/>
      <c r="G5" s="207"/>
      <c r="H5" s="207"/>
      <c r="I5" s="207"/>
      <c r="J5" s="207"/>
      <c r="K5" s="207"/>
      <c r="L5" s="207"/>
      <c r="M5" s="207"/>
      <c r="N5" s="207"/>
      <c r="O5" s="207"/>
      <c r="P5" s="207"/>
      <c r="Q5" s="207"/>
      <c r="R5" s="207"/>
    </row>
    <row r="6" spans="1:18" ht="16.5" customHeight="1" x14ac:dyDescent="0.5">
      <c r="B6" s="204"/>
      <c r="C6" s="204"/>
      <c r="D6" s="205"/>
      <c r="E6" s="205"/>
      <c r="F6" s="207"/>
      <c r="G6" s="207"/>
      <c r="H6" s="207"/>
      <c r="I6" s="207"/>
      <c r="J6" s="207"/>
      <c r="K6" s="207"/>
      <c r="L6" s="207"/>
      <c r="M6" s="207"/>
      <c r="N6" s="207"/>
      <c r="O6" s="207"/>
      <c r="P6" s="207"/>
      <c r="Q6" s="207"/>
      <c r="R6" s="207"/>
    </row>
    <row r="7" spans="1:18" ht="16.5" customHeight="1" x14ac:dyDescent="0.5">
      <c r="B7" s="204"/>
      <c r="C7" s="205"/>
      <c r="D7" s="205"/>
      <c r="E7" s="205"/>
      <c r="F7" s="207"/>
      <c r="G7" s="207"/>
      <c r="H7" s="207"/>
      <c r="I7" s="207"/>
      <c r="J7" s="207"/>
      <c r="K7" s="207"/>
      <c r="L7" s="207"/>
      <c r="M7" s="207"/>
      <c r="N7" s="207"/>
      <c r="O7" s="207"/>
      <c r="P7" s="207"/>
      <c r="Q7" s="207"/>
      <c r="R7" s="207"/>
    </row>
    <row r="8" spans="1:18" ht="16.5" customHeight="1" x14ac:dyDescent="0.5">
      <c r="B8" s="204"/>
      <c r="C8" s="204"/>
      <c r="D8" s="205"/>
      <c r="E8" s="205"/>
      <c r="F8" s="207"/>
      <c r="G8" s="207"/>
      <c r="H8" s="207"/>
      <c r="I8" s="207"/>
      <c r="J8" s="207"/>
      <c r="K8" s="207"/>
      <c r="L8" s="207"/>
      <c r="M8" s="207"/>
      <c r="N8" s="207"/>
      <c r="O8" s="207"/>
      <c r="P8" s="207"/>
      <c r="Q8" s="207"/>
      <c r="R8" s="207"/>
    </row>
    <row r="9" spans="1:18" ht="16.5" customHeight="1" x14ac:dyDescent="0.25">
      <c r="B9" s="204"/>
      <c r="C9" s="204"/>
      <c r="D9" s="208"/>
      <c r="E9" s="208"/>
      <c r="F9" s="207"/>
      <c r="G9" s="207"/>
      <c r="H9" s="207"/>
      <c r="I9" s="207"/>
      <c r="J9" s="207"/>
      <c r="K9" s="207"/>
      <c r="L9" s="207"/>
      <c r="M9" s="207"/>
      <c r="N9" s="207"/>
      <c r="O9" s="207"/>
      <c r="P9" s="207"/>
      <c r="Q9" s="207"/>
      <c r="R9" s="207"/>
    </row>
    <row r="10" spans="1:18" ht="30" customHeight="1" x14ac:dyDescent="0.35">
      <c r="B10" s="204"/>
      <c r="C10" s="204"/>
      <c r="D10" s="1104"/>
      <c r="E10" s="1104"/>
      <c r="F10" s="1104"/>
      <c r="G10" s="1104"/>
      <c r="H10" s="1104"/>
      <c r="I10" s="1104"/>
      <c r="J10" s="1104"/>
      <c r="K10" s="1104"/>
      <c r="L10" s="1104"/>
      <c r="M10" s="1104"/>
    </row>
    <row r="11" spans="1:18" ht="16.5" customHeight="1" x14ac:dyDescent="0.25">
      <c r="B11" s="204"/>
      <c r="C11" s="204"/>
    </row>
    <row r="12" spans="1:18" ht="16.5" customHeight="1" x14ac:dyDescent="0.25">
      <c r="B12" s="204"/>
      <c r="C12" s="204"/>
    </row>
    <row r="13" spans="1:18" ht="16.5" customHeight="1" x14ac:dyDescent="0.25">
      <c r="B13" s="204"/>
      <c r="C13" s="204"/>
    </row>
    <row r="14" spans="1:18" ht="16.5" customHeight="1" x14ac:dyDescent="0.25">
      <c r="B14" s="204"/>
      <c r="C14" s="204"/>
    </row>
    <row r="15" spans="1:18" ht="16.5" customHeight="1" x14ac:dyDescent="0.25">
      <c r="B15" s="204"/>
      <c r="C15" s="20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pageSetUpPr fitToPage="1"/>
  </sheetPr>
  <dimension ref="A1:XFC129"/>
  <sheetViews>
    <sheetView showGridLines="0" showRowColHeaders="0" zoomScaleNormal="100" workbookViewId="0">
      <selection activeCell="K10" sqref="K10"/>
    </sheetView>
  </sheetViews>
  <sheetFormatPr defaultColWidth="0" defaultRowHeight="13.8" zeroHeight="1" x14ac:dyDescent="0.25"/>
  <cols>
    <col min="1" max="1" width="10.77734375" style="22" customWidth="1"/>
    <col min="2" max="2" width="31.44140625" style="22" customWidth="1"/>
    <col min="3" max="3" width="13.77734375" style="22" customWidth="1"/>
    <col min="4" max="4" width="13.44140625" style="22" customWidth="1"/>
    <col min="5" max="5" width="36.5546875" style="22" customWidth="1"/>
    <col min="6" max="7" width="11.77734375" style="22" customWidth="1"/>
    <col min="8" max="8" width="13.21875" style="22" customWidth="1"/>
    <col min="9" max="9" width="11.77734375" style="22" customWidth="1"/>
    <col min="10" max="10" width="23.21875" style="22" customWidth="1"/>
    <col min="11" max="11" width="50.77734375" style="22" customWidth="1"/>
    <col min="12" max="12" width="15.5546875" style="22" hidden="1"/>
    <col min="13" max="13" width="40.5546875" style="22" hidden="1"/>
    <col min="14" max="14" width="13.5546875" style="22" hidden="1"/>
    <col min="15" max="16383" width="8.77734375" style="22" hidden="1"/>
    <col min="16384" max="16384" width="22.5546875" style="22" hidden="1"/>
  </cols>
  <sheetData>
    <row r="1" spans="2:22" ht="15.75" customHeight="1" thickBot="1" x14ac:dyDescent="0.3"/>
    <row r="2" spans="2:22" ht="19.2" customHeight="1" thickBot="1" x14ac:dyDescent="0.3">
      <c r="B2" s="1136" t="str">
        <f>IF(Start!$F$12="","",Start!$F$12)</f>
        <v>Broadfield Park Slopes (‘The Slopes’), The Esplanade, Rochdale, OL16 1AQ</v>
      </c>
      <c r="C2" s="1137"/>
      <c r="D2" s="1138"/>
      <c r="F2" s="1153"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53"/>
      <c r="H2" s="1153"/>
      <c r="I2" s="1153"/>
    </row>
    <row r="3" spans="2:22" ht="15.75" customHeight="1" x14ac:dyDescent="0.25">
      <c r="B3" s="1130" t="str">
        <f ca="1">MID(CELL("filename",A1),FIND("]",CELL("filename",A1))+1,256)</f>
        <v>Headline Results</v>
      </c>
      <c r="C3" s="1131"/>
      <c r="D3" s="1132"/>
      <c r="F3" s="1153"/>
      <c r="G3" s="1153"/>
      <c r="H3" s="1153"/>
      <c r="I3" s="1153"/>
    </row>
    <row r="4" spans="2:22" ht="15.75" customHeight="1" thickBot="1" x14ac:dyDescent="0.3">
      <c r="B4" s="1133"/>
      <c r="C4" s="1134"/>
      <c r="D4" s="1135"/>
      <c r="F4" s="1153"/>
      <c r="G4" s="1153"/>
      <c r="H4" s="1153"/>
      <c r="I4" s="1153"/>
    </row>
    <row r="5" spans="2:22" ht="10.050000000000001" customHeight="1" x14ac:dyDescent="0.25">
      <c r="B5" s="1192" t="s">
        <v>73</v>
      </c>
      <c r="C5" s="1193"/>
      <c r="D5" s="1194"/>
      <c r="F5" s="1153"/>
      <c r="G5" s="1153"/>
      <c r="H5" s="1153"/>
      <c r="I5" s="1153"/>
    </row>
    <row r="6" spans="2:22" ht="10.050000000000001" customHeight="1" x14ac:dyDescent="0.5">
      <c r="B6" s="1195"/>
      <c r="C6" s="1196"/>
      <c r="D6" s="1197"/>
      <c r="K6" s="23"/>
      <c r="L6" s="23"/>
      <c r="M6" s="23"/>
      <c r="N6" s="23"/>
    </row>
    <row r="7" spans="2:22" ht="10.050000000000001" customHeight="1" thickBot="1" x14ac:dyDescent="0.55000000000000004">
      <c r="B7" s="1198"/>
      <c r="C7" s="1199"/>
      <c r="D7" s="1200"/>
      <c r="K7" s="23"/>
      <c r="L7" s="23"/>
      <c r="M7" s="23"/>
      <c r="N7" s="23"/>
      <c r="O7" s="24"/>
      <c r="Q7" s="24"/>
      <c r="R7" s="24"/>
    </row>
    <row r="8" spans="2:22" ht="22.05" customHeight="1" x14ac:dyDescent="0.5">
      <c r="B8" s="1118" t="s">
        <v>74</v>
      </c>
      <c r="C8" s="1119"/>
      <c r="D8" s="1119"/>
      <c r="E8" s="1119"/>
      <c r="F8" s="1127" t="s">
        <v>75</v>
      </c>
      <c r="G8" s="1128"/>
      <c r="H8" s="1141">
        <f>IFERROR('A-1 On-Site Habitat Baseline'!Q259,"Check Data ⚠")</f>
        <v>8.6957200000000014</v>
      </c>
      <c r="I8" s="1142"/>
      <c r="J8" s="25"/>
      <c r="K8" s="23"/>
      <c r="L8" s="23"/>
      <c r="M8" s="23"/>
      <c r="N8" s="23"/>
      <c r="O8" s="24"/>
      <c r="P8" s="24"/>
      <c r="Q8" s="24"/>
      <c r="R8" s="24"/>
      <c r="S8" s="24"/>
    </row>
    <row r="9" spans="2:22" ht="22.05" customHeight="1" x14ac:dyDescent="0.5">
      <c r="B9" s="1121"/>
      <c r="C9" s="1122"/>
      <c r="D9" s="1122"/>
      <c r="E9" s="1122"/>
      <c r="F9" s="1107" t="s">
        <v>76</v>
      </c>
      <c r="G9" s="1108"/>
      <c r="H9" s="1143">
        <f>IFERROR('B-1 On-Site Hedge Baseline'!N258,"Check Data ⚠")</f>
        <v>0</v>
      </c>
      <c r="I9" s="1144"/>
      <c r="K9" s="23"/>
      <c r="L9" s="23"/>
      <c r="M9" s="23"/>
      <c r="N9" s="23"/>
    </row>
    <row r="10" spans="2:22" ht="22.05" customHeight="1" thickBot="1" x14ac:dyDescent="0.55000000000000004">
      <c r="B10" s="1124"/>
      <c r="C10" s="1125"/>
      <c r="D10" s="1125"/>
      <c r="E10" s="1125"/>
      <c r="F10" s="1111" t="s">
        <v>77</v>
      </c>
      <c r="G10" s="1112"/>
      <c r="H10" s="1113">
        <f>'C-1 On-Site WaterC'' Baseline'!R258</f>
        <v>0</v>
      </c>
      <c r="I10" s="1114"/>
      <c r="K10" s="23"/>
      <c r="L10" s="23"/>
      <c r="M10" s="23"/>
      <c r="N10" s="23"/>
    </row>
    <row r="11" spans="2:22" ht="4.5" customHeight="1" thickBot="1" x14ac:dyDescent="0.55000000000000004">
      <c r="H11" s="255"/>
      <c r="I11" s="255"/>
      <c r="K11" s="23"/>
      <c r="L11" s="23"/>
      <c r="M11" s="23"/>
      <c r="N11" s="23"/>
    </row>
    <row r="12" spans="2:22" ht="22.05" customHeight="1" x14ac:dyDescent="0.5">
      <c r="B12" s="1118" t="s">
        <v>78</v>
      </c>
      <c r="C12" s="1119"/>
      <c r="D12" s="1119"/>
      <c r="E12" s="1120"/>
      <c r="F12" s="1127" t="s">
        <v>75</v>
      </c>
      <c r="G12" s="1128"/>
      <c r="H12" s="1105">
        <f>IFERROR('A-2 On-Site Habitat Creation'!Y257+'A-3 On-Site Habitat Enhancement'!AN258+'A-1 On-Site Habitat Baseline'!U259,"Check Data ⚠")</f>
        <v>4.3400948186564792</v>
      </c>
      <c r="I12" s="1106"/>
      <c r="K12" s="23"/>
      <c r="L12" s="23"/>
      <c r="M12" s="23"/>
      <c r="N12" s="23"/>
      <c r="U12" s="1164"/>
      <c r="V12" s="1164"/>
    </row>
    <row r="13" spans="2:22" ht="22.05" customHeight="1" x14ac:dyDescent="0.5">
      <c r="B13" s="1121"/>
      <c r="C13" s="1122"/>
      <c r="D13" s="1122"/>
      <c r="E13" s="1123"/>
      <c r="F13" s="1107" t="s">
        <v>76</v>
      </c>
      <c r="G13" s="1108"/>
      <c r="H13" s="1165">
        <f>IFERROR('B-2 On-Site Hedge Creation'!W260+'B-3 On-Site Hedge Enhancement'!AH258+'B-1 On-Site Hedge Baseline'!R258,"Check Data⚠")</f>
        <v>0</v>
      </c>
      <c r="I13" s="1110"/>
      <c r="K13" s="23"/>
      <c r="L13" s="23"/>
      <c r="M13" s="23"/>
      <c r="N13" s="23"/>
      <c r="U13" s="1164"/>
      <c r="V13" s="1164"/>
    </row>
    <row r="14" spans="2:22" ht="22.05" customHeight="1" thickBot="1" x14ac:dyDescent="0.55000000000000004">
      <c r="B14" s="1124"/>
      <c r="C14" s="1125"/>
      <c r="D14" s="1125"/>
      <c r="E14" s="1126"/>
      <c r="F14" s="1111" t="s">
        <v>77</v>
      </c>
      <c r="G14" s="1112"/>
      <c r="H14" s="1113">
        <f>IFERROR('C-2 On-Site WaterC'' Creation'!Z260 + 'C-3 On-Site WaterC'' Enhancement'!AM258+'C-1 On-Site WaterC'' Baseline'!V258,"Check Data ⚠")</f>
        <v>0</v>
      </c>
      <c r="I14" s="1114"/>
      <c r="K14" s="23"/>
      <c r="L14" s="23"/>
      <c r="M14" s="23"/>
      <c r="N14" s="23"/>
    </row>
    <row r="15" spans="2:22" ht="4.5" customHeight="1" thickBot="1" x14ac:dyDescent="0.55000000000000004">
      <c r="B15" s="334"/>
      <c r="C15" s="334"/>
      <c r="D15" s="334"/>
      <c r="E15" s="334"/>
      <c r="F15" s="335"/>
      <c r="G15" s="335"/>
      <c r="H15" s="336"/>
      <c r="I15" s="336"/>
      <c r="K15" s="556"/>
      <c r="L15" s="23"/>
      <c r="M15" s="23"/>
      <c r="N15" s="23"/>
    </row>
    <row r="16" spans="2:22" ht="22.05" customHeight="1" x14ac:dyDescent="0.5">
      <c r="B16" s="1118" t="s">
        <v>79</v>
      </c>
      <c r="C16" s="1119"/>
      <c r="D16" s="1119"/>
      <c r="E16" s="1119"/>
      <c r="F16" s="1127" t="s">
        <v>75</v>
      </c>
      <c r="G16" s="1128"/>
      <c r="H16" s="1152">
        <f>IFERROR(H12-H8, "Error ▲")</f>
        <v>-4.3556251813435223</v>
      </c>
      <c r="I16" s="1152"/>
      <c r="J16" s="663">
        <f>IF(AND(H8=0, H12=0),0,IF(AND(H8=0,H12&gt;0),"N/A",IFERROR((H12/H8)-1,"Check Data ⚠")))</f>
        <v>-0.50089298888919165</v>
      </c>
      <c r="K16" s="898" t="str">
        <f>IF(J16="N/A","Zero baseline units - % cannot be calculated",IF(OR(AND(H8=0,H12=0),J16&gt;=Start!$F$22)," ","On-site net gain is less than target set ⚠"))</f>
        <v>On-site net gain is less than target set ⚠</v>
      </c>
      <c r="L16" s="23"/>
      <c r="M16" s="23"/>
      <c r="N16" s="23"/>
    </row>
    <row r="17" spans="2:14" ht="22.05" customHeight="1" x14ac:dyDescent="0.5">
      <c r="B17" s="1121"/>
      <c r="C17" s="1122"/>
      <c r="D17" s="1122"/>
      <c r="E17" s="1122"/>
      <c r="F17" s="1107" t="s">
        <v>76</v>
      </c>
      <c r="G17" s="1108"/>
      <c r="H17" s="1143">
        <f t="shared" ref="H17:H18" si="0">IFERROR(H13-H9, "Error ▲")</f>
        <v>0</v>
      </c>
      <c r="I17" s="1143"/>
      <c r="J17" s="663">
        <f>IF(AND(H9=0, H13=0),0,IF(AND(H9=0,H13&gt;0),"N/A",IFERROR((H13/H9)-1,"Check Data ⚠")))</f>
        <v>0</v>
      </c>
      <c r="K17" s="898" t="str">
        <f>IF(J17="N/A","Zero baseline units - % cannot be calculated",IF(OR(AND(H9=0,H13=0),J17&gt;=Start!$F$22)," ","On-site net gain is less than target set ⚠"))</f>
        <v xml:space="preserve"> </v>
      </c>
      <c r="L17" s="23"/>
      <c r="M17" s="23"/>
      <c r="N17" s="23"/>
    </row>
    <row r="18" spans="2:14" ht="22.05" customHeight="1" thickBot="1" x14ac:dyDescent="0.55000000000000004">
      <c r="B18" s="1124"/>
      <c r="C18" s="1125"/>
      <c r="D18" s="1125"/>
      <c r="E18" s="1125"/>
      <c r="F18" s="1111" t="s">
        <v>77</v>
      </c>
      <c r="G18" s="1112"/>
      <c r="H18" s="1154">
        <f t="shared" si="0"/>
        <v>0</v>
      </c>
      <c r="I18" s="1154"/>
      <c r="J18" s="663">
        <f>IF(AND(H10=0, H14=0),0,IF(AND(H10=0,H14&gt;0),"N/A",IFERROR((H14/H10)-1,"Check Data ⚠")))</f>
        <v>0</v>
      </c>
      <c r="K18" s="898" t="str">
        <f>IF(J18="N/A","Zero baseline units - % cannot be calculated",IF(OR(AND(H10=0,H14=0),J18&gt;=Start!$F$22)," ","On-site net gain is less than target set ⚠"))</f>
        <v xml:space="preserve"> </v>
      </c>
      <c r="L18" s="23"/>
      <c r="M18" s="23"/>
      <c r="N18" s="23"/>
    </row>
    <row r="19" spans="2:14" ht="25.05" customHeight="1" thickBot="1" x14ac:dyDescent="0.55000000000000004">
      <c r="H19" s="255"/>
      <c r="I19" s="255"/>
      <c r="K19" s="23"/>
      <c r="L19" s="23"/>
      <c r="M19" s="23"/>
      <c r="N19" s="23"/>
    </row>
    <row r="20" spans="2:14" ht="22.05" customHeight="1" x14ac:dyDescent="0.5">
      <c r="B20" s="1118" t="s">
        <v>80</v>
      </c>
      <c r="C20" s="1119"/>
      <c r="D20" s="1119"/>
      <c r="E20" s="1119"/>
      <c r="F20" s="1127" t="s">
        <v>75</v>
      </c>
      <c r="G20" s="1128"/>
      <c r="H20" s="1182">
        <f>IFERROR('D-1 Off-Site Habitat Baseline'!T259,"Check Data ⚠")</f>
        <v>0</v>
      </c>
      <c r="I20" s="1172"/>
      <c r="K20" s="23"/>
      <c r="L20" s="1171">
        <f>IFERROR('D-1 Off-Site Habitat Baseline'!Q259,"Check Data ⚠")</f>
        <v>0</v>
      </c>
      <c r="M20" s="1172"/>
      <c r="N20" s="23"/>
    </row>
    <row r="21" spans="2:14" ht="22.05" customHeight="1" x14ac:dyDescent="0.5">
      <c r="B21" s="1121"/>
      <c r="C21" s="1122"/>
      <c r="D21" s="1122"/>
      <c r="E21" s="1122"/>
      <c r="F21" s="1107" t="s">
        <v>76</v>
      </c>
      <c r="G21" s="1108"/>
      <c r="H21" s="1139">
        <f>IFERROR('E-1 Off-Site Hedge Baseline'!Q258,"Check Data ⚠")</f>
        <v>0</v>
      </c>
      <c r="I21" s="1140"/>
      <c r="K21" s="23"/>
      <c r="L21" s="1173">
        <f>IFERROR('E-1 Off-Site Hedge Baseline'!N258,"Check Data ⚠")</f>
        <v>0</v>
      </c>
      <c r="M21" s="1140"/>
      <c r="N21" s="23"/>
    </row>
    <row r="22" spans="2:14" ht="22.05" customHeight="1" thickBot="1" x14ac:dyDescent="0.55000000000000004">
      <c r="B22" s="1124"/>
      <c r="C22" s="1125"/>
      <c r="D22" s="1125"/>
      <c r="E22" s="1125"/>
      <c r="F22" s="1111" t="s">
        <v>77</v>
      </c>
      <c r="G22" s="1112"/>
      <c r="H22" s="1168">
        <f>IFERROR('F-1 Off-Site WaterC'' Baseline'!U258,"Check Data ⚠")</f>
        <v>0</v>
      </c>
      <c r="I22" s="1169"/>
      <c r="K22" s="23"/>
      <c r="L22" s="1174">
        <f>IFERROR('F-1 Off-Site WaterC'' Baseline'!R258,"Check Data ⚠")</f>
        <v>0</v>
      </c>
      <c r="M22" s="1169"/>
      <c r="N22" s="23"/>
    </row>
    <row r="23" spans="2:14" ht="5.55" customHeight="1" thickBot="1" x14ac:dyDescent="0.55000000000000004">
      <c r="H23" s="255"/>
      <c r="I23" s="255"/>
      <c r="K23" s="23"/>
      <c r="L23" s="255"/>
      <c r="M23" s="255"/>
      <c r="N23" s="23"/>
    </row>
    <row r="24" spans="2:14" ht="22.05" customHeight="1" x14ac:dyDescent="0.5">
      <c r="B24" s="1118" t="s">
        <v>81</v>
      </c>
      <c r="C24" s="1119"/>
      <c r="D24" s="1119"/>
      <c r="E24" s="1120"/>
      <c r="F24" s="1127" t="s">
        <v>75</v>
      </c>
      <c r="G24" s="1128"/>
      <c r="H24" s="1105">
        <f>IFERROR('D-1 Off-Site Habitat Baseline'!$X$259+'D-2 Off-Site Habitat Creation'!AB257+'D-3 Off-Site Habitat Enhancment'!AQ259,"Check Data ⚠")</f>
        <v>0</v>
      </c>
      <c r="I24" s="1106"/>
      <c r="K24" s="23"/>
      <c r="L24" s="1175">
        <f>IFERROR('D-1 Off-Site Habitat Baseline'!$AY$259+'D-2 Off-Site Habitat Creation'!AA257+'D-3 Off-Site Habitat Enhancment'!AP259,"Check Data ⚠")</f>
        <v>0</v>
      </c>
      <c r="M24" s="1106"/>
      <c r="N24" s="23"/>
    </row>
    <row r="25" spans="2:14" ht="22.05" customHeight="1" x14ac:dyDescent="0.5">
      <c r="B25" s="1121"/>
      <c r="C25" s="1122"/>
      <c r="D25" s="1122"/>
      <c r="E25" s="1123"/>
      <c r="F25" s="1107" t="s">
        <v>76</v>
      </c>
      <c r="G25" s="1108"/>
      <c r="H25" s="1109">
        <f>IFERROR('E-1 Off-Site Hedge Baseline'!U258+'E-2 Off-Site Hedge Creation'!Z260+'E-3 Off-Site Hedge Enhancement'!AK258,"Check Data ⚠")</f>
        <v>0</v>
      </c>
      <c r="I25" s="1110"/>
      <c r="K25" s="23"/>
      <c r="L25" s="1176">
        <f>IFERROR('E-1 Off-Site Hedge Baseline'!AY258+'E-2 Off-Site Hedge Creation'!Y260+'E-3 Off-Site Hedge Enhancement'!AJ258,"Check Data ⚠")</f>
        <v>0</v>
      </c>
      <c r="M25" s="1110"/>
      <c r="N25" s="23"/>
    </row>
    <row r="26" spans="2:14" ht="22.05" customHeight="1" thickBot="1" x14ac:dyDescent="0.55000000000000004">
      <c r="B26" s="1124"/>
      <c r="C26" s="1125"/>
      <c r="D26" s="1125"/>
      <c r="E26" s="1126"/>
      <c r="F26" s="1111" t="s">
        <v>77</v>
      </c>
      <c r="G26" s="1112"/>
      <c r="H26" s="1113">
        <f>IFERROR('F-1 Off-Site WaterC'' Baseline'!Y258+'F-2 Off-Site WaterC'' Creation'!AC260+'F-3 Off-Site WaterC Enhancement'!AP258,"Check Data ⚠")</f>
        <v>0</v>
      </c>
      <c r="I26" s="1114"/>
      <c r="K26" s="23"/>
      <c r="L26" s="1170">
        <f>IFERROR('F-1 Off-Site WaterC'' Baseline'!AZ258+'F-2 Off-Site WaterC'' Creation'!AB260+'F-3 Off-Site WaterC Enhancement'!AO258,"Check Data ⚠")</f>
        <v>0</v>
      </c>
      <c r="M26" s="1114"/>
      <c r="N26" s="23"/>
    </row>
    <row r="27" spans="2:14" ht="5.0999999999999996" customHeight="1" thickBot="1" x14ac:dyDescent="0.55000000000000004">
      <c r="K27" s="23"/>
      <c r="L27" s="23"/>
      <c r="M27" s="23"/>
      <c r="N27" s="23"/>
    </row>
    <row r="28" spans="2:14" ht="22.05" customHeight="1" x14ac:dyDescent="0.5">
      <c r="B28" s="1118" t="s">
        <v>82</v>
      </c>
      <c r="C28" s="1119"/>
      <c r="D28" s="1119"/>
      <c r="E28" s="1119"/>
      <c r="F28" s="1127" t="s">
        <v>75</v>
      </c>
      <c r="G28" s="1128"/>
      <c r="H28" s="1182">
        <f>IFERROR(H24-H20, "Error ▲")</f>
        <v>0</v>
      </c>
      <c r="I28" s="1182"/>
      <c r="J28" s="662">
        <f>IF(AND(H20=0, H24=0), 0,IF(AND(H20=0,H24&gt;0),"N/A",IFERROR((H24/H20)-1,"Check Data ⚠")))</f>
        <v>0</v>
      </c>
      <c r="K28" s="23" t="b">
        <f>IF(J28="N/A","0 baseline units - % cannot be calculated")</f>
        <v>0</v>
      </c>
      <c r="L28" s="23"/>
      <c r="M28" s="23"/>
      <c r="N28" s="23"/>
    </row>
    <row r="29" spans="2:14" ht="22.05" customHeight="1" x14ac:dyDescent="0.5">
      <c r="B29" s="1121"/>
      <c r="C29" s="1122"/>
      <c r="D29" s="1122"/>
      <c r="E29" s="1122"/>
      <c r="F29" s="1107" t="s">
        <v>76</v>
      </c>
      <c r="G29" s="1108"/>
      <c r="H29" s="1139">
        <f t="shared" ref="H29:H30" si="1">IFERROR(H25-H21, "Error ▲")</f>
        <v>0</v>
      </c>
      <c r="I29" s="1139"/>
      <c r="J29" s="663">
        <f t="shared" ref="J29:J30" si="2">IF(AND(H21=0, H25=0), 0,IF(AND(H21=0,H25&gt;0),"N/A",IFERROR((H25/H21)-1,"Check Data ⚠")))</f>
        <v>0</v>
      </c>
      <c r="K29" s="23" t="b">
        <f t="shared" ref="K29" si="3">IF(J29="N/A","0 baseline units - % cannot be calculated")</f>
        <v>0</v>
      </c>
      <c r="L29" s="23"/>
      <c r="M29" s="23"/>
      <c r="N29" s="23"/>
    </row>
    <row r="30" spans="2:14" ht="22.05" customHeight="1" thickBot="1" x14ac:dyDescent="0.55000000000000004">
      <c r="B30" s="1124"/>
      <c r="C30" s="1125"/>
      <c r="D30" s="1125"/>
      <c r="E30" s="1125"/>
      <c r="F30" s="1111" t="s">
        <v>77</v>
      </c>
      <c r="G30" s="1112"/>
      <c r="H30" s="1177">
        <f t="shared" si="1"/>
        <v>0</v>
      </c>
      <c r="I30" s="1177"/>
      <c r="J30" s="664">
        <f t="shared" si="2"/>
        <v>0</v>
      </c>
      <c r="K30" s="23" t="b">
        <f>IF(J30="N/A","0 baseline units - % cannot be calculated")</f>
        <v>0</v>
      </c>
      <c r="L30" s="23"/>
      <c r="M30" s="23"/>
      <c r="N30" s="23"/>
    </row>
    <row r="31" spans="2:14" ht="22.05" customHeight="1" x14ac:dyDescent="0.5">
      <c r="K31" s="23"/>
      <c r="L31" s="23"/>
      <c r="M31" s="23"/>
      <c r="N31" s="23"/>
    </row>
    <row r="32" spans="2:14" ht="7.5" hidden="1" customHeight="1" x14ac:dyDescent="0.5">
      <c r="B32" s="1118" t="s">
        <v>83</v>
      </c>
      <c r="C32" s="1119"/>
      <c r="D32" s="1119"/>
      <c r="E32" s="1119"/>
      <c r="F32" s="1127" t="s">
        <v>75</v>
      </c>
      <c r="G32" s="1128"/>
      <c r="H32" s="1182">
        <f>IF(H28&lt;0, "N/A", (L24-L20))</f>
        <v>0</v>
      </c>
      <c r="I32" s="1172"/>
      <c r="J32" s="1201" t="str">
        <f>IF(H32="N/A", "SRM only applies where unit change is positive (uplift)", " ")</f>
        <v xml:space="preserve"> </v>
      </c>
      <c r="K32" s="1202"/>
      <c r="L32" s="23"/>
      <c r="M32" s="23"/>
      <c r="N32" s="23"/>
    </row>
    <row r="33" spans="2:14" ht="22.5" hidden="1" customHeight="1" x14ac:dyDescent="0.5">
      <c r="B33" s="1121"/>
      <c r="C33" s="1122"/>
      <c r="D33" s="1122"/>
      <c r="E33" s="1122"/>
      <c r="F33" s="1107" t="s">
        <v>76</v>
      </c>
      <c r="G33" s="1108"/>
      <c r="H33" s="1139">
        <f>IF(H29&lt;0, "N/A", (L25-L21))</f>
        <v>0</v>
      </c>
      <c r="I33" s="1140"/>
      <c r="J33" s="1201" t="str">
        <f t="shared" ref="J33:J34" si="4">IF(H33="N/A", "SRM only applies where unit change is positive", " ")</f>
        <v xml:space="preserve"> </v>
      </c>
      <c r="K33" s="1202"/>
      <c r="L33" s="23"/>
      <c r="M33" s="23"/>
      <c r="N33" s="23"/>
    </row>
    <row r="34" spans="2:14" ht="16.05" hidden="1" customHeight="1" thickBot="1" x14ac:dyDescent="0.55000000000000004">
      <c r="B34" s="1124"/>
      <c r="C34" s="1125"/>
      <c r="D34" s="1125"/>
      <c r="E34" s="1125"/>
      <c r="F34" s="1111" t="s">
        <v>77</v>
      </c>
      <c r="G34" s="1112"/>
      <c r="H34" s="1177">
        <f>IF(H30&lt;0, "N/A", (L26-L22))</f>
        <v>0</v>
      </c>
      <c r="I34" s="1178"/>
      <c r="J34" s="1201" t="str">
        <f t="shared" si="4"/>
        <v xml:space="preserve"> </v>
      </c>
      <c r="K34" s="1202"/>
      <c r="L34" s="23"/>
      <c r="M34" s="23"/>
      <c r="N34" s="23"/>
    </row>
    <row r="35" spans="2:14" ht="13.5" hidden="1" customHeight="1" x14ac:dyDescent="0.5">
      <c r="B35" s="661"/>
      <c r="C35" s="661"/>
      <c r="D35" s="23"/>
      <c r="E35" s="23"/>
      <c r="F35" s="661"/>
      <c r="G35" s="661"/>
      <c r="H35" s="23"/>
      <c r="I35" s="23"/>
      <c r="J35" s="661"/>
      <c r="K35" s="661"/>
      <c r="L35" s="23"/>
      <c r="M35" s="23"/>
      <c r="N35" s="23"/>
    </row>
    <row r="36" spans="2:14" ht="22.05" customHeight="1" thickBot="1" x14ac:dyDescent="0.55000000000000004">
      <c r="B36" s="661"/>
      <c r="C36" s="661"/>
      <c r="D36" s="23"/>
      <c r="E36" s="23"/>
      <c r="F36" s="661"/>
      <c r="G36" s="661"/>
      <c r="H36" s="23"/>
      <c r="I36" s="23"/>
      <c r="J36" s="661"/>
      <c r="K36" s="23"/>
      <c r="L36" s="23"/>
      <c r="M36" s="23"/>
      <c r="N36" s="23"/>
    </row>
    <row r="37" spans="2:14" ht="22.05" customHeight="1" x14ac:dyDescent="0.5">
      <c r="B37" s="1118" t="s">
        <v>84</v>
      </c>
      <c r="C37" s="1119"/>
      <c r="D37" s="1119"/>
      <c r="E37" s="1120"/>
      <c r="F37" s="1127" t="s">
        <v>75</v>
      </c>
      <c r="G37" s="1128"/>
      <c r="H37" s="1105">
        <f>IFERROR((H16)+(H28),"Check Data ⚠")</f>
        <v>-4.3556251813435223</v>
      </c>
      <c r="I37" s="1106"/>
      <c r="J37" s="661"/>
      <c r="K37" s="23"/>
      <c r="L37" s="23"/>
      <c r="M37" s="23"/>
      <c r="N37" s="23"/>
    </row>
    <row r="38" spans="2:14" ht="22.05" customHeight="1" x14ac:dyDescent="0.5">
      <c r="B38" s="1121"/>
      <c r="C38" s="1122"/>
      <c r="D38" s="1122"/>
      <c r="E38" s="1123"/>
      <c r="F38" s="1107" t="s">
        <v>76</v>
      </c>
      <c r="G38" s="1108"/>
      <c r="H38" s="1109">
        <f>IFERROR((H17)+(H29),"Check Data ⚠")</f>
        <v>0</v>
      </c>
      <c r="I38" s="1110"/>
      <c r="J38" s="661"/>
      <c r="K38" s="23"/>
      <c r="L38" s="23"/>
      <c r="M38" s="23"/>
      <c r="N38" s="23"/>
    </row>
    <row r="39" spans="2:14" ht="22.05" customHeight="1" thickBot="1" x14ac:dyDescent="0.55000000000000004">
      <c r="B39" s="1124"/>
      <c r="C39" s="1125"/>
      <c r="D39" s="1125"/>
      <c r="E39" s="1126"/>
      <c r="F39" s="1111" t="s">
        <v>77</v>
      </c>
      <c r="G39" s="1112"/>
      <c r="H39" s="1113">
        <f>IFERROR((H18)+(H30),"Check Data ⚠")</f>
        <v>0</v>
      </c>
      <c r="I39" s="1114"/>
      <c r="J39" s="661"/>
      <c r="K39" s="23"/>
      <c r="L39" s="23"/>
      <c r="M39" s="23"/>
      <c r="N39" s="23"/>
    </row>
    <row r="40" spans="2:14" ht="5.55" customHeight="1" thickBot="1" x14ac:dyDescent="0.55000000000000004">
      <c r="B40" s="661"/>
      <c r="C40" s="661"/>
      <c r="D40" s="23"/>
      <c r="E40" s="23"/>
      <c r="F40" s="661"/>
      <c r="G40" s="661"/>
      <c r="H40" s="23"/>
      <c r="I40" s="23"/>
      <c r="J40" s="661"/>
      <c r="K40" s="23"/>
      <c r="L40" s="23"/>
      <c r="M40" s="23"/>
      <c r="N40" s="23"/>
    </row>
    <row r="41" spans="2:14" ht="22.05" customHeight="1" x14ac:dyDescent="0.5">
      <c r="B41" s="1151" t="s">
        <v>85</v>
      </c>
      <c r="C41" s="1119"/>
      <c r="D41" s="1119"/>
      <c r="E41" s="1120"/>
      <c r="F41" s="1127" t="s">
        <v>75</v>
      </c>
      <c r="G41" s="1128"/>
      <c r="H41" s="1105">
        <f>IFERROR(H28-H32, "0.00")</f>
        <v>0</v>
      </c>
      <c r="I41" s="1106"/>
      <c r="J41" s="661"/>
      <c r="K41" s="23"/>
      <c r="L41" s="23"/>
      <c r="M41" s="23"/>
      <c r="N41" s="23"/>
    </row>
    <row r="42" spans="2:14" ht="22.05" customHeight="1" x14ac:dyDescent="0.5">
      <c r="B42" s="1121"/>
      <c r="C42" s="1122"/>
      <c r="D42" s="1122"/>
      <c r="E42" s="1123"/>
      <c r="F42" s="1107" t="s">
        <v>76</v>
      </c>
      <c r="G42" s="1108"/>
      <c r="H42" s="1109">
        <f>IFERROR(H29-H33, "0.00")</f>
        <v>0</v>
      </c>
      <c r="I42" s="1110"/>
      <c r="J42" s="661"/>
      <c r="K42" s="23"/>
      <c r="L42" s="23"/>
      <c r="M42" s="23"/>
      <c r="N42" s="23"/>
    </row>
    <row r="43" spans="2:14" ht="22.05" customHeight="1" thickBot="1" x14ac:dyDescent="0.55000000000000004">
      <c r="B43" s="1124"/>
      <c r="C43" s="1125"/>
      <c r="D43" s="1125"/>
      <c r="E43" s="1126"/>
      <c r="F43" s="1111" t="s">
        <v>77</v>
      </c>
      <c r="G43" s="1112"/>
      <c r="H43" s="1113">
        <f>IFERROR(H30-H34, "0.00")</f>
        <v>0</v>
      </c>
      <c r="I43" s="1114"/>
      <c r="J43" s="661"/>
      <c r="K43" s="23"/>
      <c r="L43" s="23"/>
      <c r="M43" s="23"/>
      <c r="N43" s="23"/>
    </row>
    <row r="44" spans="2:14" ht="37.049999999999997" customHeight="1" thickBot="1" x14ac:dyDescent="0.55000000000000004">
      <c r="B44" s="660"/>
      <c r="C44" s="660"/>
      <c r="D44" s="660"/>
      <c r="E44" s="660"/>
      <c r="F44" s="660"/>
      <c r="G44" s="660"/>
      <c r="H44" s="660"/>
      <c r="I44" s="660"/>
      <c r="J44" s="661"/>
      <c r="K44" s="23"/>
      <c r="L44" s="23"/>
      <c r="M44" s="23"/>
      <c r="N44" s="23"/>
    </row>
    <row r="45" spans="2:14" ht="35.1" customHeight="1" thickBot="1" x14ac:dyDescent="0.55000000000000004">
      <c r="B45" s="1115" t="s">
        <v>86</v>
      </c>
      <c r="C45" s="1116"/>
      <c r="D45" s="1116"/>
      <c r="E45" s="1116"/>
      <c r="F45" s="1116"/>
      <c r="G45" s="1116"/>
      <c r="H45" s="1116"/>
      <c r="I45" s="1117"/>
      <c r="K45" s="23"/>
      <c r="L45" s="23"/>
      <c r="M45" s="23"/>
      <c r="N45" s="23"/>
    </row>
    <row r="46" spans="2:14" ht="10.050000000000001" customHeight="1" thickBot="1" x14ac:dyDescent="0.55000000000000004">
      <c r="B46" s="666"/>
      <c r="C46" s="666"/>
      <c r="D46" s="666"/>
      <c r="E46" s="666"/>
      <c r="F46" s="666"/>
      <c r="G46" s="666"/>
      <c r="H46" s="666"/>
      <c r="I46" s="666"/>
      <c r="K46" s="23"/>
      <c r="L46" s="23"/>
      <c r="M46" s="23"/>
      <c r="N46" s="23"/>
    </row>
    <row r="47" spans="2:14" ht="22.05" customHeight="1" x14ac:dyDescent="0.5">
      <c r="B47" s="1155" t="s">
        <v>87</v>
      </c>
      <c r="C47" s="1156"/>
      <c r="D47" s="1156"/>
      <c r="E47" s="1157"/>
      <c r="F47" s="1127" t="s">
        <v>75</v>
      </c>
      <c r="G47" s="1128"/>
      <c r="H47" s="1105">
        <f>IFERROR(IF(H32="N/A", (H12-H8)+(H28), (H12-H8)+(H32)),"Check Data ⚠")</f>
        <v>-4.3556251813435223</v>
      </c>
      <c r="I47" s="1106"/>
      <c r="J47" s="1166"/>
      <c r="K47" s="1167"/>
      <c r="L47" s="23"/>
      <c r="M47" s="23"/>
      <c r="N47" s="23"/>
    </row>
    <row r="48" spans="2:14" ht="22.05" customHeight="1" x14ac:dyDescent="0.5">
      <c r="B48" s="1158"/>
      <c r="C48" s="1159"/>
      <c r="D48" s="1159"/>
      <c r="E48" s="1160"/>
      <c r="F48" s="1107" t="s">
        <v>76</v>
      </c>
      <c r="G48" s="1108"/>
      <c r="H48" s="1109">
        <f>IFERROR(IF(H33="N/A", (H13-H9)+(H29), (H13-H9)+(H33)),"Check Data ⚠")</f>
        <v>0</v>
      </c>
      <c r="I48" s="1110"/>
      <c r="J48" s="1166"/>
      <c r="K48" s="1167"/>
      <c r="L48" s="23"/>
      <c r="M48" s="23"/>
      <c r="N48" s="23"/>
    </row>
    <row r="49" spans="1:33" ht="22.05" customHeight="1" thickBot="1" x14ac:dyDescent="0.55000000000000004">
      <c r="B49" s="1161"/>
      <c r="C49" s="1162"/>
      <c r="D49" s="1162"/>
      <c r="E49" s="1163"/>
      <c r="F49" s="1111" t="s">
        <v>77</v>
      </c>
      <c r="G49" s="1112"/>
      <c r="H49" s="1109">
        <f>IFERROR(IF(H34="N/A", (H14-H10)+(H30), (H14-H10)+(H34)),"Check Data ⚠")</f>
        <v>0</v>
      </c>
      <c r="I49" s="1110"/>
      <c r="J49" s="1166"/>
      <c r="K49" s="1167"/>
      <c r="L49" s="555"/>
      <c r="M49" s="23"/>
      <c r="N49" s="23"/>
    </row>
    <row r="50" spans="1:33" ht="10.050000000000001" customHeight="1" thickBot="1" x14ac:dyDescent="0.55000000000000004">
      <c r="H50" s="665"/>
      <c r="I50" s="665"/>
      <c r="K50" s="23"/>
      <c r="L50" s="23"/>
      <c r="M50" s="23"/>
      <c r="N50" s="23"/>
    </row>
    <row r="51" spans="1:33" ht="33.450000000000003" customHeight="1" x14ac:dyDescent="0.5">
      <c r="B51" s="1118" t="s">
        <v>88</v>
      </c>
      <c r="C51" s="1119"/>
      <c r="D51" s="1119"/>
      <c r="E51" s="1120"/>
      <c r="F51" s="1127" t="s">
        <v>75</v>
      </c>
      <c r="G51" s="1128"/>
      <c r="H51" s="1185">
        <f>IF(H47=0,0,IF(AND(H8=0,H20=0,H47&gt;0),1,IFERROR((H47/H8),"Check Data ⚠")))</f>
        <v>-0.50089298888919165</v>
      </c>
      <c r="I51" s="1186"/>
      <c r="J51" s="1203" t="str">
        <f>IF(H51="N/A","0 baseline units - % cannot be calculated",IF(OR(AND(H8=0,H12=0,H20=0,H24=0),H51&gt;=Start!$F$22)," ","Total net gain achieved is less than target set ⚠"))</f>
        <v>Total net gain achieved is less than target set ⚠</v>
      </c>
      <c r="K51" s="1204"/>
      <c r="L51" s="555"/>
      <c r="M51" s="555"/>
      <c r="N51" s="23"/>
    </row>
    <row r="52" spans="1:33" ht="31.95" customHeight="1" x14ac:dyDescent="0.5">
      <c r="A52" s="26"/>
      <c r="B52" s="1121"/>
      <c r="C52" s="1122"/>
      <c r="D52" s="1122"/>
      <c r="E52" s="1123"/>
      <c r="F52" s="1107" t="s">
        <v>76</v>
      </c>
      <c r="G52" s="1108"/>
      <c r="H52" s="1187">
        <f>IF(AND(H48=0, H9=0),0,IF(AND(H9=0,H21=0,H48&gt;0),"N/A",IFERROR((H48/H9),"Check Data ⚠")))</f>
        <v>0</v>
      </c>
      <c r="I52" s="1188"/>
      <c r="J52" s="1203" t="str">
        <f>IF(H52="N/A","0 baseline units - % cannot be calculated",IF(OR(AND(H9=0,H13=0,H21=0,H25=0),H52&gt;=Start!$F$22)," ","Total net gain achieved is less than target set ⚠"))</f>
        <v xml:space="preserve"> </v>
      </c>
      <c r="K52" s="1204"/>
      <c r="L52" s="23"/>
      <c r="M52" s="23"/>
      <c r="N52" s="23"/>
    </row>
    <row r="53" spans="1:33" ht="32.549999999999997" customHeight="1" thickBot="1" x14ac:dyDescent="0.55000000000000004">
      <c r="A53" s="26"/>
      <c r="B53" s="1124"/>
      <c r="C53" s="1125"/>
      <c r="D53" s="1125"/>
      <c r="E53" s="1126"/>
      <c r="F53" s="1111" t="s">
        <v>77</v>
      </c>
      <c r="G53" s="1189"/>
      <c r="H53" s="1190">
        <f>IF(H49=0,0,IF(AND(H10=0,H22=0,H49&gt;0),1,IFERROR((H49/H10),"Check Data ⚠")))</f>
        <v>0</v>
      </c>
      <c r="I53" s="1191"/>
      <c r="J53" s="1203" t="str">
        <f>IF(H53="N/A","0 baseline units - % cannot be calculated",IF(OR(AND(H10=0,H14=0,H22=0,H26=0),H53&gt;=Start!$F$22)," ","Total net gain achieved is less than target set ⚠"))</f>
        <v xml:space="preserve"> </v>
      </c>
      <c r="K53" s="1204"/>
      <c r="L53" s="23"/>
      <c r="M53" s="23"/>
      <c r="N53" s="23"/>
    </row>
    <row r="54" spans="1:33" ht="10.050000000000001" customHeight="1" thickBot="1" x14ac:dyDescent="0.55000000000000004">
      <c r="B54" s="1206"/>
      <c r="C54" s="1206"/>
      <c r="D54" s="1206"/>
      <c r="F54" s="27"/>
      <c r="G54" s="27"/>
      <c r="H54" s="27"/>
      <c r="I54" s="27"/>
      <c r="J54" s="27"/>
      <c r="K54" s="27"/>
      <c r="L54" s="27"/>
      <c r="M54" s="27"/>
    </row>
    <row r="55" spans="1:33" s="28" customFormat="1" ht="38.25" customHeight="1" thickBot="1" x14ac:dyDescent="0.3">
      <c r="B55" s="1145" t="s">
        <v>89</v>
      </c>
      <c r="C55" s="1146"/>
      <c r="D55" s="1146"/>
      <c r="E55" s="1147"/>
      <c r="F55" s="1148" t="str" cm="1">
        <f t="array" ref="F55">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No - Check Trading Summaries ▲</v>
      </c>
      <c r="G55" s="1149"/>
      <c r="H55" s="1149"/>
      <c r="I55" s="1150"/>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5">
      <c r="B56" s="1184" t="str">
        <f>IF(Start!F27="Yes", "This metric contains deviations from the statutory metric - these deviations are only acceptable in extremely rare circumstances and must be agreed with the consenting body ⚠", "")</f>
        <v/>
      </c>
      <c r="C56" s="1184"/>
      <c r="D56" s="1184"/>
      <c r="E56" s="1184"/>
      <c r="F56" s="1184"/>
      <c r="G56" s="1184"/>
      <c r="H56" s="1184"/>
      <c r="I56" s="1184"/>
      <c r="J56" s="29"/>
      <c r="K56" s="29"/>
      <c r="L56" s="29"/>
      <c r="M56" s="29"/>
      <c r="N56" s="22"/>
      <c r="O56" s="22"/>
      <c r="P56" s="22"/>
      <c r="Q56" s="22"/>
      <c r="X56" s="22"/>
      <c r="Y56" s="22"/>
      <c r="Z56" s="22"/>
      <c r="AA56" s="22"/>
      <c r="AB56" s="22"/>
      <c r="AC56" s="22"/>
      <c r="AD56" s="22"/>
      <c r="AE56" s="22"/>
      <c r="AF56" s="22"/>
      <c r="AG56" s="22"/>
    </row>
    <row r="57" spans="1:33" ht="15.6" x14ac:dyDescent="0.25">
      <c r="B57" s="1183" t="str">
        <f>IF(Start!I23="You must specify if irreplaceable habitats are on-site at baseline ▲", "You must specify if irreplaceable habitats are on-site at baseline ▲", "")</f>
        <v/>
      </c>
      <c r="C57" s="1183"/>
      <c r="D57" s="1183"/>
      <c r="E57" s="1183"/>
      <c r="F57" s="1183"/>
      <c r="G57" s="1183"/>
      <c r="H57" s="1183"/>
      <c r="I57" s="1183"/>
      <c r="J57" s="29"/>
      <c r="K57" s="29"/>
      <c r="L57" s="29"/>
      <c r="M57" s="29"/>
      <c r="X57" s="28"/>
      <c r="Y57" s="28"/>
      <c r="Z57" s="28"/>
      <c r="AA57" s="28"/>
      <c r="AB57" s="28"/>
    </row>
    <row r="58" spans="1:33" ht="15.6" x14ac:dyDescent="0.25">
      <c r="B58" s="1183" t="str" cm="1">
        <f t="array" ref="B58">IF(OR('Irreplaceable Habitats'!AA10:AA31="Irreplaceable habitat lost, bespoke compensation must be agreed with concenting body ▲"), "Unacceptable loss of irreplaceable habitat recorded - no bespoke compensation for lossess has been agreed  ▲", "")</f>
        <v/>
      </c>
      <c r="C58" s="1183"/>
      <c r="D58" s="1183"/>
      <c r="E58" s="1183"/>
      <c r="F58" s="1183"/>
      <c r="G58" s="1183"/>
      <c r="H58" s="1183"/>
      <c r="I58" s="1183"/>
      <c r="J58" s="29"/>
      <c r="K58" s="29"/>
      <c r="L58" s="29"/>
      <c r="M58" s="29"/>
      <c r="X58" s="28"/>
      <c r="Y58" s="28"/>
      <c r="Z58" s="28"/>
      <c r="AA58" s="28"/>
      <c r="AB58" s="28"/>
    </row>
    <row r="59" spans="1:33" ht="17.100000000000001" customHeight="1" thickBot="1" x14ac:dyDescent="0.3">
      <c r="B59" s="29"/>
      <c r="C59" s="29"/>
      <c r="D59" s="29"/>
      <c r="E59" s="29"/>
      <c r="F59" s="29"/>
      <c r="G59" s="29"/>
      <c r="H59" s="29"/>
      <c r="I59" s="29"/>
      <c r="J59" s="29"/>
      <c r="K59" s="29"/>
      <c r="L59" s="29"/>
      <c r="M59" s="29"/>
      <c r="X59" s="28"/>
      <c r="Y59" s="28"/>
      <c r="Z59" s="28"/>
      <c r="AA59" s="28"/>
      <c r="AB59" s="28"/>
    </row>
    <row r="60" spans="1:33" ht="23.55" customHeight="1" thickBot="1" x14ac:dyDescent="0.3">
      <c r="B60" s="1179" t="s">
        <v>90</v>
      </c>
      <c r="C60" s="1180"/>
      <c r="D60" s="569" t="s">
        <v>91</v>
      </c>
      <c r="E60" s="570" t="s">
        <v>92</v>
      </c>
      <c r="F60" s="1181" t="s">
        <v>93</v>
      </c>
      <c r="G60" s="1181"/>
      <c r="H60" s="1181" t="s">
        <v>94</v>
      </c>
      <c r="I60" s="1205"/>
      <c r="J60" s="568"/>
    </row>
    <row r="61" spans="1:33" ht="17.399999999999999" x14ac:dyDescent="0.25">
      <c r="B61" s="1127" t="s">
        <v>75</v>
      </c>
      <c r="C61" s="1128"/>
      <c r="D61" s="712">
        <f>Start!F22</f>
        <v>0</v>
      </c>
      <c r="E61" s="708">
        <f>H8</f>
        <v>8.6957200000000014</v>
      </c>
      <c r="F61" s="1182">
        <f>IFERROR(E61*(1+D61), "Error ▲")</f>
        <v>8.6957200000000014</v>
      </c>
      <c r="G61" s="1182"/>
      <c r="H61" s="1182">
        <f>IFERROR(IF(H32="N/A",(IF(F61-(H12+(H28))&lt;0,0,F61-(H12+(H28)))),(IF(F61-(H12+H32)&lt;0,0,F61-(H12+H32)))), "Error ▲")</f>
        <v>4.3556251813435223</v>
      </c>
      <c r="I61" s="1172"/>
      <c r="J61" s="1129" t="str">
        <f>IF(H61=0, "Unit requirement met or surpassed  ✓", " ")</f>
        <v xml:space="preserve"> </v>
      </c>
      <c r="K61" s="1129"/>
    </row>
    <row r="62" spans="1:33" ht="17.399999999999999" x14ac:dyDescent="0.25">
      <c r="B62" s="1107" t="s">
        <v>76</v>
      </c>
      <c r="C62" s="1108"/>
      <c r="D62" s="711">
        <f>Start!F22</f>
        <v>0</v>
      </c>
      <c r="E62" s="709">
        <f t="shared" ref="E62:E63" si="5">H9</f>
        <v>0</v>
      </c>
      <c r="F62" s="1139">
        <f t="shared" ref="F62:F63" si="6">IFERROR(E62*(1+D62), "Error ▲")</f>
        <v>0</v>
      </c>
      <c r="G62" s="1139"/>
      <c r="H62" s="1139">
        <f t="shared" ref="H62:H63" si="7">IFERROR(IF(H33="N/A",(IF(F62-(H13+(H29))&lt;0,0,F62-(H13+(H29)))),(IF(F62-(H13+H33)&lt;0,0,F62-(H13+H33)))), "Error ▲")</f>
        <v>0</v>
      </c>
      <c r="I62" s="1140"/>
      <c r="J62" s="1129" t="str">
        <f>IF(H62=0, "Unit requirement met or surpassed  ✓", " ")</f>
        <v>Unit requirement met or surpassed  ✓</v>
      </c>
      <c r="K62" s="1129"/>
    </row>
    <row r="63" spans="1:33" ht="18" thickBot="1" x14ac:dyDescent="0.3">
      <c r="B63" s="1111" t="s">
        <v>77</v>
      </c>
      <c r="C63" s="1112"/>
      <c r="D63" s="713">
        <f>Start!F22</f>
        <v>0</v>
      </c>
      <c r="E63" s="710">
        <f t="shared" si="5"/>
        <v>0</v>
      </c>
      <c r="F63" s="1177">
        <f t="shared" si="6"/>
        <v>0</v>
      </c>
      <c r="G63" s="1177"/>
      <c r="H63" s="1177">
        <f t="shared" si="7"/>
        <v>0</v>
      </c>
      <c r="I63" s="1178"/>
      <c r="J63" s="1129" t="str">
        <f>IF(H63=0, "Unit requirement met or surpassed  ✓", " ")</f>
        <v>Unit requirement met or surpassed  ✓</v>
      </c>
      <c r="K63" s="1129"/>
    </row>
    <row r="64" spans="1:33" x14ac:dyDescent="0.25"/>
    <row r="65"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94" x14ac:dyDescent="0.25"/>
    <row r="97" x14ac:dyDescent="0.25"/>
    <row r="98" x14ac:dyDescent="0.25"/>
    <row r="99" x14ac:dyDescent="0.25"/>
    <row r="100" x14ac:dyDescent="0.25"/>
    <row r="107" x14ac:dyDescent="0.25"/>
    <row r="110" ht="21.6" hidden="1" customHeight="1"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ht="64.95" hidden="1" customHeight="1" x14ac:dyDescent="0.25"/>
    <row r="124" x14ac:dyDescent="0.25"/>
    <row r="125" x14ac:dyDescent="0.25"/>
    <row r="126" ht="29.55" hidden="1" customHeight="1" x14ac:dyDescent="0.25"/>
    <row r="127" x14ac:dyDescent="0.25"/>
    <row r="128" x14ac:dyDescent="0.25"/>
    <row r="129" x14ac:dyDescent="0.25"/>
  </sheetData>
  <sheetProtection algorithmName="SHA-512" hashValue="gH8RB8lM68ZVSUvXHYy50RY+Ol6BucCZ5ptr+ojm/KiT475ZisjBqs27JLiNtrS4NofB5oHl+V/rtziIhyy6GA==" saltValue="lMPeiYyDYko9TmUIqEEVlA==" spinCount="100000" sheet="1" objects="1" scenarios="1"/>
  <customSheetViews>
    <customSheetView guid="{8BDA793C-C9C5-4FC6-A0A5-F1109F6D4F22}" state="hidden" topLeftCell="A23">
      <selection activeCell="D14" sqref="D14"/>
    </customSheetView>
  </customSheetViews>
  <mergeCells count="119">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H25:I25"/>
    <mergeCell ref="F26:G26"/>
    <mergeCell ref="H26:I26"/>
    <mergeCell ref="F16:G16"/>
    <mergeCell ref="H16:I16"/>
    <mergeCell ref="F17:G17"/>
    <mergeCell ref="F2:I5"/>
    <mergeCell ref="H17:I17"/>
    <mergeCell ref="F18:G18"/>
    <mergeCell ref="H18:I18"/>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41:I41"/>
    <mergeCell ref="F42:G42"/>
    <mergeCell ref="H42:I42"/>
    <mergeCell ref="F43:G43"/>
    <mergeCell ref="H43:I43"/>
    <mergeCell ref="B45:I45"/>
    <mergeCell ref="B37:E39"/>
    <mergeCell ref="F37:G37"/>
    <mergeCell ref="H37:I37"/>
    <mergeCell ref="F38:G38"/>
    <mergeCell ref="H38:I38"/>
    <mergeCell ref="F39:G39"/>
    <mergeCell ref="H39:I39"/>
  </mergeCells>
  <conditionalFormatting sqref="B56:I56">
    <cfRule type="containsText" dxfId="706" priority="73" operator="containsText" text="⚠">
      <formula>NOT(ISERROR(SEARCH("⚠",B56)))</formula>
    </cfRule>
  </conditionalFormatting>
  <conditionalFormatting sqref="B57:I58">
    <cfRule type="containsText" dxfId="705" priority="74" operator="containsText" text="▲">
      <formula>NOT(ISERROR(SEARCH("▲",B57)))</formula>
    </cfRule>
  </conditionalFormatting>
  <conditionalFormatting sqref="D35:D36 H35:H36">
    <cfRule type="cellIs" dxfId="704" priority="20" operator="greaterThan">
      <formula>0</formula>
    </cfRule>
  </conditionalFormatting>
  <conditionalFormatting sqref="D40 H40">
    <cfRule type="cellIs" dxfId="703" priority="15" operator="greaterThan">
      <formula>0</formula>
    </cfRule>
  </conditionalFormatting>
  <conditionalFormatting sqref="D61:I63">
    <cfRule type="containsText" dxfId="702" priority="78" operator="containsText" text="Error">
      <formula>NOT(ISERROR(SEARCH("Error",D61)))</formula>
    </cfRule>
    <cfRule type="containsText" dxfId="701" priority="77" operator="containsText" text="Check">
      <formula>NOT(ISERROR(SEARCH("Check",D61)))</formula>
    </cfRule>
  </conditionalFormatting>
  <conditionalFormatting sqref="F2:I5">
    <cfRule type="containsText" dxfId="700" priority="6" operator="containsText" text="▲">
      <formula>NOT(ISERROR(SEARCH("▲",F2)))</formula>
    </cfRule>
    <cfRule type="containsText" dxfId="699" priority="72" operator="containsText" text="⚠">
      <formula>NOT(ISERROR(SEARCH("⚠",F2)))</formula>
    </cfRule>
  </conditionalFormatting>
  <conditionalFormatting sqref="F55:I55">
    <cfRule type="containsText" dxfId="698" priority="109" operator="containsText" text="No">
      <formula>NOT(ISERROR(SEARCH("No",F55)))</formula>
    </cfRule>
    <cfRule type="containsText" dxfId="697" priority="110" operator="containsText" text="Yes">
      <formula>NOT(ISERROR(SEARCH("Yes",F55)))</formula>
    </cfRule>
  </conditionalFormatting>
  <conditionalFormatting sqref="H8:I26">
    <cfRule type="containsText" dxfId="696" priority="45" operator="containsText" text="Check">
      <formula>NOT(ISERROR(SEARCH("Check",H8)))</formula>
    </cfRule>
    <cfRule type="containsText" dxfId="695" priority="46" operator="containsText" text="Error">
      <formula>NOT(ISERROR(SEARCH("Error",H8)))</formula>
    </cfRule>
  </conditionalFormatting>
  <conditionalFormatting sqref="H20:I22">
    <cfRule type="cellIs" dxfId="694" priority="5" operator="lessThan">
      <formula>0</formula>
    </cfRule>
  </conditionalFormatting>
  <conditionalFormatting sqref="H28:I30">
    <cfRule type="containsText" dxfId="693" priority="84" operator="containsText" text="Error">
      <formula>NOT(ISERROR(SEARCH("Error",H28)))</formula>
    </cfRule>
    <cfRule type="containsText" dxfId="692" priority="83" operator="containsText" text="Check">
      <formula>NOT(ISERROR(SEARCH("Check",H28)))</formula>
    </cfRule>
  </conditionalFormatting>
  <conditionalFormatting sqref="H32:I34">
    <cfRule type="containsText" dxfId="691" priority="82" operator="containsText" text="Error">
      <formula>NOT(ISERROR(SEARCH("Error",H32)))</formula>
    </cfRule>
    <cfRule type="containsText" dxfId="690" priority="81" operator="containsText" text="Check">
      <formula>NOT(ISERROR(SEARCH("Check",H32)))</formula>
    </cfRule>
  </conditionalFormatting>
  <conditionalFormatting sqref="H37:I37">
    <cfRule type="cellIs" dxfId="689" priority="23" operator="equal">
      <formula>"Error"</formula>
    </cfRule>
  </conditionalFormatting>
  <conditionalFormatting sqref="H37:I39">
    <cfRule type="containsText" dxfId="688" priority="22" operator="containsText" text="Error">
      <formula>NOT(ISERROR(SEARCH("Error",H37)))</formula>
    </cfRule>
    <cfRule type="containsText" dxfId="687" priority="21" operator="containsText" text="Check">
      <formula>NOT(ISERROR(SEARCH("Check",H37)))</formula>
    </cfRule>
  </conditionalFormatting>
  <conditionalFormatting sqref="H41:I41">
    <cfRule type="cellIs" dxfId="686" priority="14" operator="equal">
      <formula>"Error"</formula>
    </cfRule>
  </conditionalFormatting>
  <conditionalFormatting sqref="H41:I43">
    <cfRule type="containsText" dxfId="685" priority="12" operator="containsText" text="Check">
      <formula>NOT(ISERROR(SEARCH("Check",H41)))</formula>
    </cfRule>
    <cfRule type="containsText" dxfId="684" priority="13" operator="containsText" text="Error">
      <formula>NOT(ISERROR(SEARCH("Error",H41)))</formula>
    </cfRule>
  </conditionalFormatting>
  <conditionalFormatting sqref="H47:I47">
    <cfRule type="cellIs" dxfId="683" priority="136" operator="equal">
      <formula>"Error"</formula>
    </cfRule>
  </conditionalFormatting>
  <conditionalFormatting sqref="H47:I53">
    <cfRule type="containsText" dxfId="682" priority="135" operator="containsText" text="Error">
      <formula>NOT(ISERROR(SEARCH("Error",H47)))</formula>
    </cfRule>
    <cfRule type="containsText" dxfId="681" priority="118" operator="containsText" text="Check">
      <formula>NOT(ISERROR(SEARCH("Check",H47)))</formula>
    </cfRule>
  </conditionalFormatting>
  <conditionalFormatting sqref="H51:I51">
    <cfRule type="expression" dxfId="679" priority="117">
      <formula>AND(OR($H$8&gt;0,$H$20&gt;0),$H$51&lt;0.1)</formula>
    </cfRule>
  </conditionalFormatting>
  <conditionalFormatting sqref="H51:I53">
    <cfRule type="containsText" dxfId="677" priority="1" operator="containsText" text="N/A">
      <formula>NOT(ISERROR(SEARCH("N/A",H51)))</formula>
    </cfRule>
    <cfRule type="cellIs" dxfId="676" priority="111" operator="lessThan">
      <formula>0</formula>
    </cfRule>
  </conditionalFormatting>
  <conditionalFormatting sqref="H52:I52">
    <cfRule type="expression" dxfId="675" priority="121">
      <formula>AND(OR($H$9&gt;0,$H$21&gt;0),$H$52&lt;0.1)</formula>
    </cfRule>
  </conditionalFormatting>
  <conditionalFormatting sqref="H52:I53">
    <cfRule type="cellIs" dxfId="673" priority="123" operator="equal">
      <formula>"Error"</formula>
    </cfRule>
  </conditionalFormatting>
  <conditionalFormatting sqref="H53:I53">
    <cfRule type="expression" dxfId="671" priority="119">
      <formula>AND(OR($H$10&gt;0,$H$22&gt;0),$H$53&lt;0.1)</formula>
    </cfRule>
  </conditionalFormatting>
  <conditionalFormatting sqref="J16">
    <cfRule type="expression" dxfId="670" priority="64">
      <formula>AND($H$8&gt;0,$H$16&lt;0.1)</formula>
    </cfRule>
    <cfRule type="containsText" dxfId="669" priority="66" operator="containsText" text="Error">
      <formula>NOT(ISERROR(SEARCH("Error",J16)))</formula>
    </cfRule>
    <cfRule type="expression" dxfId="668" priority="65">
      <formula>AND($H$8&gt;0,$H$16&gt;=0.1)</formula>
    </cfRule>
    <cfRule type="containsText" dxfId="667" priority="63" operator="containsText" text="Check">
      <formula>NOT(ISERROR(SEARCH("Check",J16)))</formula>
    </cfRule>
    <cfRule type="cellIs" dxfId="666" priority="61" operator="lessThan">
      <formula>0</formula>
    </cfRule>
  </conditionalFormatting>
  <conditionalFormatting sqref="J16:J18">
    <cfRule type="containsText" dxfId="665" priority="4" operator="containsText" text="N/A">
      <formula>NOT(ISERROR(SEARCH("N/A",J16)))</formula>
    </cfRule>
    <cfRule type="cellIs" dxfId="664" priority="55" operator="lessThan">
      <formula>0</formula>
    </cfRule>
    <cfRule type="containsText" dxfId="663" priority="60" operator="containsText" text="Error">
      <formula>NOT(ISERROR(SEARCH("Error",J16)))</formula>
    </cfRule>
    <cfRule type="expression" dxfId="662" priority="59">
      <formula>AND($H$8&gt;0,$H$16&gt;=0.1)</formula>
    </cfRule>
    <cfRule type="expression" dxfId="661" priority="58">
      <formula>AND($H$8&gt;0,$H$16&lt;0.1)</formula>
    </cfRule>
    <cfRule type="containsText" dxfId="660" priority="57" operator="containsText" text="Check">
      <formula>NOT(ISERROR(SEARCH("Check",J16)))</formula>
    </cfRule>
  </conditionalFormatting>
  <conditionalFormatting sqref="J18">
    <cfRule type="cellIs" dxfId="659" priority="49" operator="lessThan">
      <formula>0</formula>
    </cfRule>
    <cfRule type="containsText" dxfId="658" priority="51" operator="containsText" text="Check">
      <formula>NOT(ISERROR(SEARCH("Check",J18)))</formula>
    </cfRule>
    <cfRule type="expression" dxfId="657" priority="52">
      <formula>AND($H$8&gt;0,$H$16&lt;0.1)</formula>
    </cfRule>
    <cfRule type="expression" dxfId="656" priority="53">
      <formula>AND($H$8&gt;0,$H$16&gt;=0.1)</formula>
    </cfRule>
    <cfRule type="containsText" dxfId="655" priority="54" operator="containsText" text="Error">
      <formula>NOT(ISERROR(SEARCH("Error",J18)))</formula>
    </cfRule>
  </conditionalFormatting>
  <conditionalFormatting sqref="J28:J30">
    <cfRule type="containsText" dxfId="654" priority="30" operator="containsText" text="Error">
      <formula>NOT(ISERROR(SEARCH("Error",J28)))</formula>
    </cfRule>
    <cfRule type="cellIs" dxfId="653" priority="25" operator="lessThan">
      <formula>0</formula>
    </cfRule>
    <cfRule type="containsText" dxfId="652" priority="27" operator="containsText" text="Check">
      <formula>NOT(ISERROR(SEARCH("Check",J28)))</formula>
    </cfRule>
  </conditionalFormatting>
  <conditionalFormatting sqref="J51:J53">
    <cfRule type="containsText" dxfId="651" priority="87" operator="containsText" text="⚠">
      <formula>NOT(ISERROR(SEARCH("⚠",J51)))</formula>
    </cfRule>
  </conditionalFormatting>
  <conditionalFormatting sqref="J51:K53">
    <cfRule type="containsText" dxfId="650" priority="2" operator="containsText" text="cannot be calculated">
      <formula>NOT(ISERROR(SEARCH("cannot be calculated",J51)))</formula>
    </cfRule>
  </conditionalFormatting>
  <conditionalFormatting sqref="J61:K63">
    <cfRule type="containsText" dxfId="649" priority="76" operator="containsText" text="✓">
      <formula>NOT(ISERROR(SEARCH("✓",J61)))</formula>
    </cfRule>
    <cfRule type="containsBlanks" dxfId="648" priority="75">
      <formula>LEN(TRIM(J61))=0</formula>
    </cfRule>
  </conditionalFormatting>
  <conditionalFormatting sqref="K15:K18">
    <cfRule type="containsText" dxfId="647" priority="68" operator="containsText" text="⚠">
      <formula>NOT(ISERROR(SEARCH("⚠",K15)))</formula>
    </cfRule>
  </conditionalFormatting>
  <conditionalFormatting sqref="K16:K18">
    <cfRule type="containsText" dxfId="646" priority="3" operator="containsText" text="cannot be calculated">
      <formula>NOT(ISERROR(SEARCH("cannot be calculated",K16)))</formula>
    </cfRule>
  </conditionalFormatting>
  <conditionalFormatting sqref="K58:L59">
    <cfRule type="cellIs" dxfId="635" priority="143" operator="lessThan">
      <formula>0</formula>
    </cfRule>
    <cfRule type="cellIs" dxfId="634" priority="144" operator="greaterThan">
      <formula>0</formula>
    </cfRule>
  </conditionalFormatting>
  <conditionalFormatting sqref="L8:L9">
    <cfRule type="cellIs" dxfId="633" priority="133" operator="equal">
      <formula>"Error"</formula>
    </cfRule>
  </conditionalFormatting>
  <conditionalFormatting sqref="L11">
    <cfRule type="cellIs" dxfId="632" priority="132" operator="equal">
      <formula>"Error"</formula>
    </cfRule>
  </conditionalFormatting>
  <conditionalFormatting sqref="L13:L18">
    <cfRule type="cellIs" dxfId="631" priority="130" operator="equal">
      <formula>"Error"</formula>
    </cfRule>
  </conditionalFormatting>
  <conditionalFormatting sqref="L27:L44">
    <cfRule type="cellIs" dxfId="630" priority="19" operator="greaterThan">
      <formula>0</formula>
    </cfRule>
  </conditionalFormatting>
  <conditionalFormatting sqref="L20:M26">
    <cfRule type="containsText" dxfId="629" priority="79" operator="containsText" text="Check">
      <formula>NOT(ISERROR(SEARCH("Check",L20)))</formula>
    </cfRule>
    <cfRule type="containsText" dxfId="628" priority="80" operator="containsText" text="Error">
      <formula>NOT(ISERROR(SEARCH("Error",L20)))</formula>
    </cfRule>
  </conditionalFormatting>
  <pageMargins left="0.70866141732283472" right="0.70866141732283472" top="0.74803149606299213" bottom="0.74803149606299213" header="0.31496062992125984" footer="0.31496062992125984"/>
  <pageSetup paperSize="9" scale="37"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122"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4" operator="lessThan" id="{4ED278A4-2758-46C8-8477-466D168977ED}">
            <xm:f>Start!$F$22</xm:f>
            <x14:dxf>
              <font>
                <color rgb="FF000000"/>
              </font>
              <fill>
                <patternFill>
                  <bgColor rgb="FFFFC000"/>
                </patternFill>
              </fill>
            </x14:dxf>
          </x14:cfRule>
          <xm:sqref>H51:I53 J16:J18</xm:sqref>
        </x14:conditionalFormatting>
        <x14:conditionalFormatting xmlns:xm="http://schemas.microsoft.com/office/excel/2006/main">
          <x14:cfRule type="cellIs" priority="70"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20"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9"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5" operator="equal" id="{6EEE2BFC-026C-4DBA-865F-850D56F4BDD9}">
            <xm:f>'G-1 All Habitats'!$X$6</xm:f>
            <x14:dxf>
              <fill>
                <patternFill>
                  <bgColor theme="7" tint="0.79998168889431442"/>
                </patternFill>
              </fill>
            </x14:dxf>
          </x14:cfRule>
          <x14:cfRule type="cellIs" priority="126" operator="equal" id="{B56D98BB-0AE5-4874-9D4E-3C4485D04071}">
            <xm:f>'G-1 All Habitats'!$X$7</xm:f>
            <x14:dxf>
              <fill>
                <patternFill>
                  <bgColor theme="4" tint="0.59996337778862885"/>
                </patternFill>
              </fill>
            </x14:dxf>
          </x14:cfRule>
          <x14:cfRule type="cellIs" priority="127" operator="equal" id="{E7D480FC-A0C4-44B1-A2E7-E2F87CB95EC5}">
            <xm:f>'G-1 All Habitats'!$X$5</xm:f>
            <x14:dxf>
              <fill>
                <patternFill>
                  <bgColor theme="7" tint="0.39994506668294322"/>
                </patternFill>
              </fill>
            </x14:dxf>
          </x14:cfRule>
          <x14:cfRule type="cellIs" priority="128"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11"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10" operator="equal" id="{1148AB86-4D63-46F8-88F7-FE511952A740}">
            <xm:f>'G-1 All Habitats'!$X$4</xm:f>
            <x14:dxf>
              <fill>
                <patternFill>
                  <bgColor theme="5"/>
                </patternFill>
              </fill>
            </x14:dxf>
          </x14:cfRule>
          <x14:cfRule type="cellIs" priority="9" operator="equal" id="{94843BC6-55B5-4209-A28E-6CCB4242554C}">
            <xm:f>'G-1 All Habitats'!$X$5</xm:f>
            <x14:dxf>
              <fill>
                <patternFill>
                  <bgColor theme="7" tint="0.39994506668294322"/>
                </patternFill>
              </fill>
            </x14:dxf>
          </x14:cfRule>
          <x14:cfRule type="cellIs" priority="8" operator="equal" id="{CAC5EDAA-4B5F-4546-821F-1991FFC39B23}">
            <xm:f>'G-1 All Habitats'!$X$7</xm:f>
            <x14:dxf>
              <fill>
                <patternFill>
                  <bgColor theme="4" tint="0.59996337778862885"/>
                </patternFill>
              </fill>
            </x14:dxf>
          </x14:cfRule>
          <x14:cfRule type="cellIs" priority="7"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zoomScale="80" zoomScaleNormal="80" workbookViewId="0"/>
  </sheetViews>
  <sheetFormatPr defaultColWidth="8.77734375" defaultRowHeight="13.8" x14ac:dyDescent="0.25"/>
  <cols>
    <col min="1" max="1" width="4.21875" style="618" customWidth="1"/>
    <col min="2" max="2" width="72.77734375" style="618" customWidth="1"/>
    <col min="3" max="3" width="13.77734375" style="618" customWidth="1"/>
    <col min="4" max="4" width="18.21875" style="618" customWidth="1"/>
    <col min="5" max="5" width="16" style="618" customWidth="1"/>
    <col min="6" max="6" width="14.5546875" style="618" customWidth="1"/>
    <col min="7" max="7" width="12.44140625" style="618" customWidth="1"/>
    <col min="8" max="8" width="15.5546875" style="618" customWidth="1"/>
    <col min="9" max="9" width="16.21875" style="618" customWidth="1"/>
    <col min="10" max="10" width="20.21875" style="618" customWidth="1"/>
    <col min="11" max="11" width="23.21875" style="618" customWidth="1"/>
    <col min="12" max="12" width="28.21875" style="618" customWidth="1"/>
    <col min="13" max="13" width="15" style="618" customWidth="1"/>
    <col min="14" max="14" width="16.21875" style="618" customWidth="1"/>
    <col min="15" max="15" width="11.21875" style="618" customWidth="1"/>
    <col min="16" max="16" width="16.21875" style="618" customWidth="1"/>
    <col min="17" max="17" width="14" style="618" customWidth="1"/>
    <col min="18" max="18" width="12.21875" style="618" customWidth="1"/>
    <col min="19" max="19" width="13.44140625" style="618" customWidth="1"/>
    <col min="20" max="20" width="10.5546875" style="618" customWidth="1"/>
    <col min="21" max="30" width="8.77734375" style="618"/>
    <col min="31" max="31" width="12.21875" style="618" customWidth="1"/>
    <col min="32" max="16384" width="8.77734375" style="618"/>
  </cols>
  <sheetData>
    <row r="1" spans="2:19" ht="15.75" customHeight="1" thickBot="1" x14ac:dyDescent="0.3"/>
    <row r="2" spans="2:19" ht="22.2" customHeight="1" thickBot="1" x14ac:dyDescent="0.3">
      <c r="B2" s="1253" t="str">
        <f>IF(Start!$F$12="","",Start!$F$12)</f>
        <v>Broadfield Park Slopes (‘The Slopes’), The Esplanade, Rochdale, OL16 1AQ</v>
      </c>
      <c r="C2" s="1254"/>
      <c r="D2" s="1255"/>
    </row>
    <row r="3" spans="2:19" ht="19.95" customHeight="1" x14ac:dyDescent="0.25">
      <c r="B3" s="1260" t="str">
        <f ca="1">MID(CELL("filename",A1),FIND("]",CELL("filename",A1))+1,256)</f>
        <v>Detailed Results</v>
      </c>
      <c r="C3" s="1261"/>
      <c r="D3" s="1262"/>
    </row>
    <row r="4" spans="2:19" ht="21.6" customHeight="1" thickBot="1" x14ac:dyDescent="0.3">
      <c r="B4" s="1263"/>
      <c r="C4" s="1264"/>
      <c r="D4" s="1265"/>
    </row>
    <row r="5" spans="2:19" ht="15.75" customHeight="1" x14ac:dyDescent="0.25"/>
    <row r="6" spans="2:19" ht="25.5" customHeight="1" thickBot="1" x14ac:dyDescent="0.3"/>
    <row r="7" spans="2:19" ht="18.75" customHeight="1" x14ac:dyDescent="0.25">
      <c r="B7" s="1266" t="s">
        <v>95</v>
      </c>
      <c r="C7" s="1267"/>
    </row>
    <row r="8" spans="2:19" ht="20.25" customHeight="1" thickBot="1" x14ac:dyDescent="0.3">
      <c r="B8" s="1268"/>
      <c r="C8" s="1269"/>
    </row>
    <row r="9" spans="2:19" ht="15.75" customHeight="1" thickBot="1" x14ac:dyDescent="0.55000000000000004">
      <c r="B9" s="619"/>
      <c r="C9" s="619"/>
      <c r="O9" s="620"/>
      <c r="Q9" s="620"/>
      <c r="R9" s="620"/>
    </row>
    <row r="10" spans="2:19" ht="18" customHeight="1" x14ac:dyDescent="0.3">
      <c r="B10" s="1270" t="s">
        <v>96</v>
      </c>
      <c r="C10" s="1271"/>
      <c r="D10" s="1271"/>
      <c r="E10" s="1272"/>
      <c r="F10" s="1281" t="s">
        <v>75</v>
      </c>
      <c r="G10" s="1282"/>
      <c r="H10" s="1279">
        <f>IFERROR('Headline Results'!$H$47:$I$47,"Check Data ⚠")</f>
        <v>-4.3556251813435223</v>
      </c>
      <c r="I10" s="1280"/>
      <c r="J10" s="621"/>
      <c r="O10" s="620"/>
      <c r="P10" s="620"/>
      <c r="Q10" s="620"/>
      <c r="R10" s="620"/>
      <c r="S10" s="620"/>
    </row>
    <row r="11" spans="2:19" ht="15.75" customHeight="1" x14ac:dyDescent="0.3">
      <c r="B11" s="1273"/>
      <c r="C11" s="1274"/>
      <c r="D11" s="1274"/>
      <c r="E11" s="1275"/>
      <c r="F11" s="1285" t="s">
        <v>76</v>
      </c>
      <c r="G11" s="1292"/>
      <c r="H11" s="1290">
        <f>IFERROR('Headline Results'!$H$48:$I$48,"Check Data ⚠")</f>
        <v>0</v>
      </c>
      <c r="I11" s="1291"/>
    </row>
    <row r="12" spans="2:19" ht="18.600000000000001" customHeight="1" thickBot="1" x14ac:dyDescent="0.35">
      <c r="B12" s="1276"/>
      <c r="C12" s="1277"/>
      <c r="D12" s="1277"/>
      <c r="E12" s="1278"/>
      <c r="F12" s="1256" t="s">
        <v>77</v>
      </c>
      <c r="G12" s="1257"/>
      <c r="H12" s="1258">
        <f>IFERROR('Headline Results'!$H$49:$I$49,"Check Data ⚠")</f>
        <v>0</v>
      </c>
      <c r="I12" s="1259"/>
    </row>
    <row r="13" spans="2:19" ht="15.75" customHeight="1" thickBot="1" x14ac:dyDescent="0.3"/>
    <row r="14" spans="2:19" ht="18.75" customHeight="1" x14ac:dyDescent="0.25">
      <c r="B14" s="1270" t="s">
        <v>97</v>
      </c>
      <c r="C14" s="1271"/>
      <c r="D14" s="1271"/>
      <c r="E14" s="1272"/>
      <c r="F14" s="1281" t="s">
        <v>75</v>
      </c>
      <c r="G14" s="1289"/>
      <c r="H14" s="1287">
        <f>IFERROR('Headline Results'!$H$51:$I$51,"Check Data ⚠")</f>
        <v>-0.50089298888919165</v>
      </c>
      <c r="I14" s="1288"/>
    </row>
    <row r="15" spans="2:19" ht="18.75" customHeight="1" x14ac:dyDescent="0.25">
      <c r="B15" s="1273"/>
      <c r="C15" s="1274"/>
      <c r="D15" s="1274"/>
      <c r="E15" s="1275"/>
      <c r="F15" s="1285" t="s">
        <v>76</v>
      </c>
      <c r="G15" s="1286"/>
      <c r="H15" s="1283">
        <f>IFERROR('Headline Results'!$H$52:$I$52,"Check Data ⚠")</f>
        <v>0</v>
      </c>
      <c r="I15" s="1284"/>
    </row>
    <row r="16" spans="2:19" ht="18.75" customHeight="1" thickBot="1" x14ac:dyDescent="0.3">
      <c r="B16" s="1276"/>
      <c r="C16" s="1277"/>
      <c r="D16" s="1277"/>
      <c r="E16" s="1278"/>
      <c r="F16" s="1256" t="s">
        <v>77</v>
      </c>
      <c r="G16" s="1295"/>
      <c r="H16" s="1293">
        <f>IFERROR('Headline Results'!$H$53:$I$53,"Check Data ⚠")</f>
        <v>0</v>
      </c>
      <c r="I16" s="1294"/>
    </row>
    <row r="17" spans="2:9" ht="18.75" customHeight="1" thickBot="1" x14ac:dyDescent="0.3"/>
    <row r="18" spans="2:9" ht="25.5" customHeight="1" x14ac:dyDescent="0.25">
      <c r="B18" s="1296" t="s">
        <v>98</v>
      </c>
      <c r="C18" s="1296"/>
      <c r="D18" s="1296"/>
      <c r="E18" s="1296"/>
      <c r="F18" s="1296"/>
      <c r="G18" s="1296"/>
      <c r="H18" s="1296"/>
      <c r="I18" s="1296"/>
    </row>
    <row r="19" spans="2:9" ht="22.5" customHeight="1" thickBot="1" x14ac:dyDescent="0.3">
      <c r="B19" s="1297"/>
      <c r="C19" s="1297"/>
      <c r="D19" s="1297"/>
      <c r="E19" s="1297"/>
      <c r="F19" s="1297"/>
      <c r="G19" s="1297"/>
      <c r="H19" s="1297"/>
      <c r="I19" s="1297"/>
    </row>
    <row r="20" spans="2:9" ht="18.75" customHeight="1" thickBot="1" x14ac:dyDescent="0.55000000000000004">
      <c r="B20" s="1249"/>
      <c r="C20" s="1249"/>
      <c r="D20" s="1252" t="s">
        <v>99</v>
      </c>
      <c r="E20" s="1252"/>
      <c r="F20" s="1252" t="s">
        <v>53</v>
      </c>
      <c r="G20" s="1252"/>
      <c r="H20" s="1252" t="s">
        <v>59</v>
      </c>
      <c r="I20" s="1252"/>
    </row>
    <row r="21" spans="2:9" ht="18.75" customHeight="1" x14ac:dyDescent="0.25">
      <c r="B21" s="1208" t="s">
        <v>100</v>
      </c>
      <c r="C21" s="1209"/>
      <c r="D21" s="1250">
        <f>IF(AND($K$40=0,'A-1 On-Site Habitat Baseline'!Y11:Y258&lt;&gt;"No",'D-1 Off-Site Habitat Baseline'!AB11:AB258&lt;&gt;"No"),'A-1 On-Site Habitat Baseline'!$H259+'D-1 Off-Site Habitat Baseline'!H259,"Error ▲")</f>
        <v>0.53849999999999998</v>
      </c>
      <c r="E21" s="1250"/>
      <c r="F21" s="1242">
        <f>'B-1 On-Site Hedge Baseline'!$E$258+'E-1 Off-Site Hedge Baseline'!$E$258</f>
        <v>0</v>
      </c>
      <c r="G21" s="1242"/>
      <c r="H21" s="1242">
        <f>'C-1 On-Site WaterC'' Baseline'!$E$258+'F-1 Off-Site WaterC'' Baseline'!$E$258</f>
        <v>0</v>
      </c>
      <c r="I21" s="1243"/>
    </row>
    <row r="22" spans="2:9" ht="18.75" customHeight="1" thickBot="1" x14ac:dyDescent="0.3">
      <c r="B22" s="1210" t="s">
        <v>101</v>
      </c>
      <c r="C22" s="1211"/>
      <c r="D22" s="1251">
        <f>IF(AND($K$40=0,'A-1 On-Site Habitat Baseline'!Y11:Y258&lt;&gt;"No",'D-1 Off-Site Habitat Baseline'!AB11:AB258&lt;&gt;"No"),'A-1 On-Site Habitat Baseline'!$Q259+'D-1 Off-Site Habitat Baseline'!T259,"Error ▲")</f>
        <v>8.6957200000000014</v>
      </c>
      <c r="E22" s="1251"/>
      <c r="F22" s="1244">
        <f>'B-1 On-Site Hedge Baseline'!$N$258+'E-1 Off-Site Hedge Baseline'!$Q$258</f>
        <v>0</v>
      </c>
      <c r="G22" s="1244"/>
      <c r="H22" s="1244">
        <f>'C-1 On-Site WaterC'' Baseline'!$R$258+'F-1 Off-Site WaterC'' Baseline'!$U$258</f>
        <v>0</v>
      </c>
      <c r="I22" s="1245"/>
    </row>
    <row r="23" spans="2:9" ht="18.75" customHeight="1" thickBot="1" x14ac:dyDescent="0.3">
      <c r="D23" s="621"/>
      <c r="F23" s="621"/>
      <c r="H23" s="621"/>
    </row>
    <row r="24" spans="2:9" ht="18.75" customHeight="1" x14ac:dyDescent="0.25">
      <c r="B24" s="1208" t="s">
        <v>102</v>
      </c>
      <c r="C24" s="1209"/>
      <c r="D24" s="1250">
        <f>IF(AND($K$40=0,'A-1 On-Site Habitat Baseline'!Y11:Y258&lt;&gt;"No",'D-1 Off-Site Habitat Baseline'!AB11:AB258&lt;&gt;"No"),'A-1 On-Site Habitat Baseline'!$S259+'D-1 Off-Site Habitat Baseline'!V259,"Error ▲")</f>
        <v>0.12839999999999999</v>
      </c>
      <c r="E24" s="1250"/>
      <c r="F24" s="1242">
        <f>'B-1 On-Site Hedge Baseline'!$P$258+'E-1 Off-Site Hedge Baseline'!$S$258</f>
        <v>0</v>
      </c>
      <c r="G24" s="1242"/>
      <c r="H24" s="1242">
        <f>'C-1 On-Site WaterC'' Baseline'!T258+'F-1 Off-Site WaterC'' Baseline'!W258</f>
        <v>0</v>
      </c>
      <c r="I24" s="1243"/>
    </row>
    <row r="25" spans="2:9" ht="18.75" customHeight="1" thickBot="1" x14ac:dyDescent="0.3">
      <c r="B25" s="1210" t="s">
        <v>103</v>
      </c>
      <c r="C25" s="1211"/>
      <c r="D25" s="1251">
        <f>IF(AND($K$40=0,'A-1 On-Site Habitat Baseline'!Y11:Y258&lt;&gt;"No",'D-1 Off-Site Habitat Baseline'!AB11:AB258&lt;&gt;"No"),'A-1 On-Site Habitat Baseline'!$U259+'D-1 Off-Site Habitat Baseline'!X259,"Error ▲")</f>
        <v>2.4622199999999999</v>
      </c>
      <c r="E25" s="1251"/>
      <c r="F25" s="1244">
        <f>'B-1 On-Site Hedge Baseline'!R258+'E-1 Off-Site Hedge Baseline'!U258</f>
        <v>0</v>
      </c>
      <c r="G25" s="1244"/>
      <c r="H25" s="1244">
        <f>'C-1 On-Site WaterC'' Baseline'!V258+'F-1 Off-Site WaterC'' Baseline'!Y258</f>
        <v>0</v>
      </c>
      <c r="I25" s="1245"/>
    </row>
    <row r="26" spans="2:9" ht="18.75" customHeight="1" thickBot="1" x14ac:dyDescent="0.3">
      <c r="D26" s="621"/>
      <c r="F26" s="621"/>
      <c r="H26" s="621"/>
    </row>
    <row r="27" spans="2:9" ht="18.75" customHeight="1" x14ac:dyDescent="0.25">
      <c r="B27" s="1208" t="s">
        <v>104</v>
      </c>
      <c r="C27" s="1209"/>
      <c r="D27" s="1250">
        <f>IF(AND($K$40=0,'A-1 On-Site Habitat Baseline'!Y11:Y258&lt;&gt;"No",'D-1 Off-Site Habitat Baseline'!AB11:AB258&lt;&gt;"No"),'A-1 On-Site Habitat Baseline'!$T259+'D-1 Off-Site Habitat Baseline'!W259,"Error ▲")</f>
        <v>0</v>
      </c>
      <c r="E27" s="1250"/>
      <c r="F27" s="1242">
        <f>'B-1 On-Site Hedge Baseline'!$Q$258+'E-1 Off-Site Hedge Baseline'!$T$258</f>
        <v>0</v>
      </c>
      <c r="G27" s="1242"/>
      <c r="H27" s="1242">
        <f>'C-1 On-Site WaterC'' Baseline'!U258+'F-1 Off-Site WaterC'' Baseline'!X258</f>
        <v>0</v>
      </c>
      <c r="I27" s="1243"/>
    </row>
    <row r="28" spans="2:9" ht="18.75" customHeight="1" thickBot="1" x14ac:dyDescent="0.3">
      <c r="B28" s="1210" t="s">
        <v>105</v>
      </c>
      <c r="C28" s="1211"/>
      <c r="D28" s="1251">
        <f>IF(AND($K$40=0,'A-1 On-Site Habitat Baseline'!Y11:Y258&lt;&gt;"No",'D-1 Off-Site Habitat Baseline'!AB11:AB258&lt;&gt;"No"),'A-1 On-Site Habitat Baseline'!$V259+'D-1 Off-Site Habitat Baseline'!Y259,"Error ▲")</f>
        <v>0</v>
      </c>
      <c r="E28" s="1251"/>
      <c r="F28" s="1244">
        <f>'B-1 On-Site Hedge Baseline'!$S$258+'E-1 Off-Site Hedge Baseline'!$V$258</f>
        <v>0</v>
      </c>
      <c r="G28" s="1244"/>
      <c r="H28" s="1244">
        <f>'C-1 On-Site WaterC'' Baseline'!W258+'F-1 Off-Site WaterC'' Baseline'!Z258</f>
        <v>0</v>
      </c>
      <c r="I28" s="1245"/>
    </row>
    <row r="29" spans="2:9" ht="18.75" customHeight="1" thickBot="1" x14ac:dyDescent="0.3">
      <c r="D29" s="621"/>
      <c r="F29" s="621"/>
      <c r="H29" s="621"/>
    </row>
    <row r="30" spans="2:9" ht="18.75" customHeight="1" x14ac:dyDescent="0.25">
      <c r="B30" s="1208" t="s">
        <v>106</v>
      </c>
      <c r="C30" s="1209"/>
      <c r="D30" s="1250">
        <f>IF(AND($K$40=0,'A-1 On-Site Habitat Baseline'!Y11:Y258&lt;&gt;"No",'D-1 Off-Site Habitat Baseline'!AB11:AB258&lt;&gt;"No"),'A-1 On-Site Habitat Baseline'!$W259+'D-1 Off-Site Habitat Baseline'!Z259,"Error ▲")</f>
        <v>0.41009999999999996</v>
      </c>
      <c r="E30" s="1250"/>
      <c r="F30" s="1242">
        <f>'B-1 On-Site Hedge Baseline'!$T$258+'E-1 Off-Site Hedge Baseline'!$W$258</f>
        <v>0</v>
      </c>
      <c r="G30" s="1242"/>
      <c r="H30" s="1242">
        <f>'C-1 On-Site WaterC'' Baseline'!X258+'F-1 Off-Site WaterC'' Baseline'!AA258</f>
        <v>0</v>
      </c>
      <c r="I30" s="1243"/>
    </row>
    <row r="31" spans="2:9" ht="18.75" customHeight="1" thickBot="1" x14ac:dyDescent="0.3">
      <c r="B31" s="1210" t="s">
        <v>107</v>
      </c>
      <c r="C31" s="1211"/>
      <c r="D31" s="1251">
        <f>IF(AND($K$40=0,'A-1 On-Site Habitat Baseline'!Y11:Y258&lt;&gt;"No",'D-1 Off-Site Habitat Baseline'!AB11:AB258&lt;&gt;"No"),'A-1 On-Site Habitat Baseline'!$X259+'D-1 Off-Site Habitat Baseline'!AA259,"Error ▲")</f>
        <v>6.2335000000000003</v>
      </c>
      <c r="E31" s="1251"/>
      <c r="F31" s="1244">
        <f>'B-1 On-Site Hedge Baseline'!$U$258+'E-1 Off-Site Hedge Baseline'!$X$258</f>
        <v>0</v>
      </c>
      <c r="G31" s="1244"/>
      <c r="H31" s="1244">
        <f>'C-1 On-Site WaterC'' Baseline'!Y258+'F-1 Off-Site WaterC'' Baseline'!AB258</f>
        <v>0</v>
      </c>
      <c r="I31" s="1245"/>
    </row>
    <row r="32" spans="2:9" ht="25.95" customHeight="1" thickBot="1" x14ac:dyDescent="0.3">
      <c r="C32" s="621"/>
      <c r="D32" s="621"/>
      <c r="E32" s="621"/>
    </row>
    <row r="33" spans="1:22" s="622" customFormat="1" ht="43.95" customHeight="1" thickTop="1" thickBot="1" x14ac:dyDescent="0.3">
      <c r="A33" s="1212" t="s">
        <v>108</v>
      </c>
      <c r="C33" s="623"/>
      <c r="D33" s="623"/>
      <c r="E33" s="623"/>
    </row>
    <row r="34" spans="1:22" ht="25.8" thickBot="1" x14ac:dyDescent="0.5">
      <c r="A34" s="1213"/>
      <c r="B34" s="624" t="s">
        <v>45</v>
      </c>
    </row>
    <row r="35" spans="1:22" ht="18.75" customHeight="1" thickBot="1" x14ac:dyDescent="0.3">
      <c r="A35" s="1213"/>
    </row>
    <row r="36" spans="1:22" ht="22.2" customHeight="1" thickBot="1" x14ac:dyDescent="0.35">
      <c r="A36" s="1213"/>
      <c r="B36" s="1224" t="s">
        <v>109</v>
      </c>
      <c r="C36" s="1224"/>
      <c r="D36" s="1224"/>
      <c r="E36" s="1224"/>
      <c r="F36" s="1224"/>
      <c r="G36" s="1224"/>
      <c r="H36" s="1224"/>
      <c r="J36" s="1230" t="s">
        <v>110</v>
      </c>
      <c r="K36" s="1231"/>
      <c r="L36" s="1232"/>
    </row>
    <row r="37" spans="1:22" ht="34.200000000000003" customHeight="1" thickBot="1" x14ac:dyDescent="0.3">
      <c r="A37" s="1213"/>
      <c r="B37" s="625"/>
      <c r="C37" s="1207" t="s">
        <v>111</v>
      </c>
      <c r="D37" s="1207"/>
      <c r="E37" s="1207" t="s">
        <v>112</v>
      </c>
      <c r="F37" s="1207"/>
      <c r="G37" s="1207" t="s">
        <v>113</v>
      </c>
      <c r="H37" s="1207"/>
      <c r="J37" s="1233"/>
      <c r="K37" s="1234"/>
      <c r="L37" s="1235"/>
      <c r="U37" s="1298"/>
      <c r="V37" s="1298"/>
    </row>
    <row r="38" spans="1:22" ht="52.95" customHeight="1" thickBot="1" x14ac:dyDescent="0.3">
      <c r="A38" s="1213"/>
      <c r="B38" s="635" t="s">
        <v>114</v>
      </c>
      <c r="C38" s="636" t="s">
        <v>115</v>
      </c>
      <c r="D38" s="636" t="s">
        <v>116</v>
      </c>
      <c r="E38" s="636" t="s">
        <v>117</v>
      </c>
      <c r="F38" s="636" t="s">
        <v>118</v>
      </c>
      <c r="G38" s="636" t="s">
        <v>119</v>
      </c>
      <c r="H38" s="636" t="s">
        <v>120</v>
      </c>
      <c r="J38" s="1236" t="s">
        <v>121</v>
      </c>
      <c r="K38" s="1238" t="s">
        <v>122</v>
      </c>
      <c r="L38" s="1240" t="s">
        <v>123</v>
      </c>
      <c r="U38" s="1298"/>
      <c r="V38" s="1298"/>
    </row>
    <row r="39" spans="1:22" ht="15.6" x14ac:dyDescent="0.25">
      <c r="A39" s="1213"/>
      <c r="B39" s="637" t="s">
        <v>124</v>
      </c>
      <c r="C39" s="638">
        <f>'G-2 Habitat groups'!$AK$4</f>
        <v>0</v>
      </c>
      <c r="D39" s="638">
        <f>'G-2 Habitat groups'!$AL$4</f>
        <v>0</v>
      </c>
      <c r="E39" s="638">
        <f>'G-2 Habitat groups'!$AM$4</f>
        <v>0</v>
      </c>
      <c r="F39" s="638">
        <f>'G-2 Habitat groups'!$AN$4</f>
        <v>0</v>
      </c>
      <c r="G39" s="638">
        <f>E39-C39</f>
        <v>0</v>
      </c>
      <c r="H39" s="639">
        <f>F39-D39</f>
        <v>0</v>
      </c>
      <c r="J39" s="1237"/>
      <c r="K39" s="1239"/>
      <c r="L39" s="1241"/>
    </row>
    <row r="40" spans="1:22" ht="15.6" x14ac:dyDescent="0.25">
      <c r="A40" s="1213"/>
      <c r="B40" s="640" t="s">
        <v>125</v>
      </c>
      <c r="C40" s="628">
        <f>'G-2 Habitat groups'!$AK$5</f>
        <v>0.121</v>
      </c>
      <c r="D40" s="628">
        <f>'G-2 Habitat groups'!$AL$5</f>
        <v>1.452</v>
      </c>
      <c r="E40" s="628">
        <f>'G-2 Habitat groups'!$AM$5</f>
        <v>0.27549999999999997</v>
      </c>
      <c r="F40" s="628">
        <f>'G-2 Habitat groups'!$AN$5</f>
        <v>1.77983081865648</v>
      </c>
      <c r="G40" s="628">
        <f t="shared" ref="G40:G50" si="0">E40-C40</f>
        <v>0.15449999999999997</v>
      </c>
      <c r="H40" s="629">
        <f t="shared" ref="H40:H50" si="1">F40-D40</f>
        <v>0.32783081865648001</v>
      </c>
      <c r="J40" s="1220" t="str">
        <f>'G-1 All Habitats'!$V$3</f>
        <v>V.High</v>
      </c>
      <c r="K40" s="1222">
        <f>SUMIF('A-1 On-Site Habitat Baseline'!$I$11:$I$258,'Detailed Results'!J40,'A-1 On-Site Habitat Baseline'!$W$11:$W$258)+SUMIF('D-1 Off-Site Habitat Baseline'!$I$11:$I$258,'Detailed Results'!J40,'D-1 Off-Site Habitat Baseline'!$Z$11:$Z$258)</f>
        <v>0</v>
      </c>
      <c r="L40" s="1227" t="str">
        <f>IF(K40=0,"",(K40/(SUM($K$40:$K$49)))*100)</f>
        <v/>
      </c>
    </row>
    <row r="41" spans="1:22" ht="15.6" x14ac:dyDescent="0.25">
      <c r="A41" s="1213"/>
      <c r="B41" s="640" t="s">
        <v>126</v>
      </c>
      <c r="C41" s="628">
        <f>'G-2 Habitat groups'!$AK$6</f>
        <v>0</v>
      </c>
      <c r="D41" s="628">
        <f>'G-2 Habitat groups'!$AL$6</f>
        <v>0</v>
      </c>
      <c r="E41" s="628">
        <f>'G-2 Habitat groups'!$AM$6</f>
        <v>0</v>
      </c>
      <c r="F41" s="628">
        <f>'G-2 Habitat groups'!$AN$6</f>
        <v>0</v>
      </c>
      <c r="G41" s="628">
        <f t="shared" si="0"/>
        <v>0</v>
      </c>
      <c r="H41" s="629">
        <f t="shared" si="1"/>
        <v>0</v>
      </c>
      <c r="J41" s="1221"/>
      <c r="K41" s="1223"/>
      <c r="L41" s="1228"/>
    </row>
    <row r="42" spans="1:22" ht="15.6" x14ac:dyDescent="0.25">
      <c r="A42" s="1213"/>
      <c r="B42" s="640" t="s">
        <v>127</v>
      </c>
      <c r="C42" s="628">
        <f>'G-2 Habitat groups'!$AK$7</f>
        <v>4.4999999999999997E-3</v>
      </c>
      <c r="D42" s="628">
        <f>'G-2 Habitat groups'!$AL$7</f>
        <v>8.9999999999999993E-3</v>
      </c>
      <c r="E42" s="628">
        <f>'G-2 Habitat groups'!$AM$7</f>
        <v>8.5000000000000006E-3</v>
      </c>
      <c r="F42" s="628">
        <f>'G-2 Habitat groups'!$AN$7</f>
        <v>2.444E-2</v>
      </c>
      <c r="G42" s="628">
        <f t="shared" si="0"/>
        <v>4.000000000000001E-3</v>
      </c>
      <c r="H42" s="629">
        <f t="shared" si="1"/>
        <v>1.5440000000000001E-2</v>
      </c>
      <c r="J42" s="1220" t="str">
        <f>'G-1 All Habitats'!$V$4</f>
        <v>High</v>
      </c>
      <c r="K42" s="1222">
        <f>SUMIF('A-1 On-Site Habitat Baseline'!$I$11:$I$258,'Detailed Results'!J42,'A-1 On-Site Habitat Baseline'!$W$11:$W$258)+SUMIF('D-1 Off-Site Habitat Baseline'!$I$11:$I$258,'Detailed Results'!J42,'D-1 Off-Site Habitat Baseline'!$Z$11:$Z$258)</f>
        <v>0.24049999999999999</v>
      </c>
      <c r="L42" s="1227">
        <f>IF(K42=0,"",(K42/(SUM($K$40:$K$49)))*100)</f>
        <v>58.64423311387467</v>
      </c>
    </row>
    <row r="43" spans="1:22" ht="15.6" x14ac:dyDescent="0.25">
      <c r="A43" s="1213"/>
      <c r="B43" s="640" t="s">
        <v>128</v>
      </c>
      <c r="C43" s="628">
        <f>'G-2 Habitat groups'!$AK$8</f>
        <v>0</v>
      </c>
      <c r="D43" s="628">
        <f>'G-2 Habitat groups'!$AL$8</f>
        <v>0</v>
      </c>
      <c r="E43" s="628">
        <f>'G-2 Habitat groups'!$AM$8</f>
        <v>0</v>
      </c>
      <c r="F43" s="628">
        <f>'G-2 Habitat groups'!$AN$8</f>
        <v>0</v>
      </c>
      <c r="G43" s="628">
        <f t="shared" si="0"/>
        <v>0</v>
      </c>
      <c r="H43" s="629">
        <f t="shared" si="1"/>
        <v>0</v>
      </c>
      <c r="J43" s="1221"/>
      <c r="K43" s="1223"/>
      <c r="L43" s="1228"/>
    </row>
    <row r="44" spans="1:22" ht="15.6" x14ac:dyDescent="0.25">
      <c r="A44" s="1213"/>
      <c r="B44" s="640" t="s">
        <v>129</v>
      </c>
      <c r="C44" s="628">
        <f>'G-2 Habitat groups'!$AK$9</f>
        <v>4.8600000000000004E-2</v>
      </c>
      <c r="D44" s="628">
        <f>'G-2 Habitat groups'!$AL$9</f>
        <v>1.9599999999999999E-2</v>
      </c>
      <c r="E44" s="628">
        <f>'G-2 Habitat groups'!$AM$9</f>
        <v>0.13059999999999999</v>
      </c>
      <c r="F44" s="628">
        <f>'G-2 Habitat groups'!$AN$9</f>
        <v>8.2603999999999997E-2</v>
      </c>
      <c r="G44" s="628">
        <f t="shared" si="0"/>
        <v>8.199999999999999E-2</v>
      </c>
      <c r="H44" s="629">
        <f t="shared" si="1"/>
        <v>6.3004000000000004E-2</v>
      </c>
      <c r="J44" s="1220" t="str">
        <f>'G-1 All Habitats'!$V5</f>
        <v>Medium</v>
      </c>
      <c r="K44" s="1222">
        <f>SUMIF('A-1 On-Site Habitat Baseline'!$I$11:$I$258,'Detailed Results'!J44,'A-1 On-Site Habitat Baseline'!$W$11:$W$258)+SUMIF('D-1 Off-Site Habitat Baseline'!$I$11:$I$258,'Detailed Results'!J44,'D-1 Off-Site Habitat Baseline'!$Z$11:$Z$258)</f>
        <v>0.121</v>
      </c>
      <c r="L44" s="1227">
        <f>IF(K44=0,"",(K44/(SUM($K$40:$K$49)))*100)</f>
        <v>29.504998780785176</v>
      </c>
    </row>
    <row r="45" spans="1:22" ht="15.6" x14ac:dyDescent="0.25">
      <c r="A45" s="1213"/>
      <c r="B45" s="640" t="s">
        <v>130</v>
      </c>
      <c r="C45" s="628">
        <f>'G-2 Habitat groups'!$AK$10</f>
        <v>0</v>
      </c>
      <c r="D45" s="628">
        <f>'G-2 Habitat groups'!$AL$10</f>
        <v>0</v>
      </c>
      <c r="E45" s="628">
        <f>'G-2 Habitat groups'!$AM$10</f>
        <v>0</v>
      </c>
      <c r="F45" s="628">
        <f>'G-2 Habitat groups'!$AN$10</f>
        <v>0</v>
      </c>
      <c r="G45" s="628">
        <f t="shared" si="0"/>
        <v>0</v>
      </c>
      <c r="H45" s="629">
        <f t="shared" si="1"/>
        <v>0</v>
      </c>
      <c r="J45" s="1221"/>
      <c r="K45" s="1223"/>
      <c r="L45" s="1228"/>
    </row>
    <row r="46" spans="1:22" ht="15.6" x14ac:dyDescent="0.25">
      <c r="A46" s="1213"/>
      <c r="B46" s="640" t="s">
        <v>131</v>
      </c>
      <c r="C46" s="628">
        <f>'G-2 Habitat groups'!$AK$11</f>
        <v>0.3644</v>
      </c>
      <c r="D46" s="628">
        <f>'G-2 Habitat groups'!$AL$11</f>
        <v>7.2151200000000006</v>
      </c>
      <c r="E46" s="628">
        <f>'G-2 Habitat groups'!$AM$11</f>
        <v>0.1239</v>
      </c>
      <c r="F46" s="628">
        <f>'G-2 Habitat groups'!$AN$11</f>
        <v>2.45322</v>
      </c>
      <c r="G46" s="628">
        <f t="shared" si="0"/>
        <v>-0.24049999999999999</v>
      </c>
      <c r="H46" s="629">
        <f t="shared" si="1"/>
        <v>-4.7619000000000007</v>
      </c>
      <c r="J46" s="1220" t="str">
        <f>'G-1 All Habitats'!$V$6</f>
        <v>Low</v>
      </c>
      <c r="K46" s="1222">
        <f>SUMIF('A-1 On-Site Habitat Baseline'!$I$11:$I$258,'Detailed Results'!J46,'A-1 On-Site Habitat Baseline'!$W$11:$W$258)+SUMIF('D-1 Off-Site Habitat Baseline'!$I$11:$I$258,'Detailed Results'!J46,'D-1 Off-Site Habitat Baseline'!$Z$11:$Z$258)</f>
        <v>9.7999999999999997E-3</v>
      </c>
      <c r="L46" s="1227">
        <f>IF(K46=0,"",(K46/(SUM($K$40:$K$49)))*100)</f>
        <v>2.3896610582784685</v>
      </c>
    </row>
    <row r="47" spans="1:22" ht="15.6" x14ac:dyDescent="0.25">
      <c r="A47" s="1213"/>
      <c r="B47" s="641" t="s">
        <v>132</v>
      </c>
      <c r="C47" s="628">
        <f>'G-2 Habitat groups'!$AK$12</f>
        <v>0</v>
      </c>
      <c r="D47" s="628">
        <f>'G-2 Habitat groups'!$AL$12</f>
        <v>0</v>
      </c>
      <c r="E47" s="628">
        <f>'G-2 Habitat groups'!$AM$12</f>
        <v>0</v>
      </c>
      <c r="F47" s="628">
        <f>'G-2 Habitat groups'!$AN$12</f>
        <v>0</v>
      </c>
      <c r="G47" s="628">
        <f t="shared" si="0"/>
        <v>0</v>
      </c>
      <c r="H47" s="629">
        <f t="shared" si="1"/>
        <v>0</v>
      </c>
      <c r="J47" s="1221"/>
      <c r="K47" s="1223"/>
      <c r="L47" s="1228"/>
    </row>
    <row r="48" spans="1:22" ht="15.6" x14ac:dyDescent="0.25">
      <c r="A48" s="1213"/>
      <c r="B48" s="641" t="s">
        <v>133</v>
      </c>
      <c r="C48" s="628">
        <f>'G-2 Habitat groups'!$AK$13</f>
        <v>0</v>
      </c>
      <c r="D48" s="628">
        <f>'G-2 Habitat groups'!$AL$13</f>
        <v>0</v>
      </c>
      <c r="E48" s="628">
        <f>'G-2 Habitat groups'!$AM$13</f>
        <v>0</v>
      </c>
      <c r="F48" s="628">
        <f>'G-2 Habitat groups'!$AN$13</f>
        <v>0</v>
      </c>
      <c r="G48" s="628">
        <f t="shared" si="0"/>
        <v>0</v>
      </c>
      <c r="H48" s="629">
        <f t="shared" si="1"/>
        <v>0</v>
      </c>
      <c r="J48" s="1220" t="str">
        <f>'G-1 All Habitats'!$V$7</f>
        <v>V.Low</v>
      </c>
      <c r="K48" s="1222">
        <f>SUMIF('A-1 On-Site Habitat Baseline'!$I$11:$I$258,'Detailed Results'!J48,'A-1 On-Site Habitat Baseline'!$W$11:$W$258)+SUMIF('D-1 Off-Site Habitat Baseline'!$I$11:$I$258,'Detailed Results'!J48,'D-1 Off-Site Habitat Baseline'!$Z$11:$Z$258)</f>
        <v>3.8800000000000001E-2</v>
      </c>
      <c r="L48" s="1227">
        <f>IF(K48=0,"",(K48/(SUM($K$40:$K$49)))*100)</f>
        <v>9.4611070470616934</v>
      </c>
    </row>
    <row r="49" spans="1:33" ht="16.2" thickBot="1" x14ac:dyDescent="0.3">
      <c r="A49" s="1213"/>
      <c r="B49" s="641" t="s">
        <v>134</v>
      </c>
      <c r="C49" s="628">
        <f>'G-2 Habitat groups'!$AK$14</f>
        <v>0</v>
      </c>
      <c r="D49" s="628">
        <f>'G-2 Habitat groups'!$AL$14</f>
        <v>0</v>
      </c>
      <c r="E49" s="628">
        <f>'G-2 Habitat groups'!$AM$14</f>
        <v>0</v>
      </c>
      <c r="F49" s="628">
        <f>'G-2 Habitat groups'!$AN$14</f>
        <v>0</v>
      </c>
      <c r="G49" s="628">
        <f t="shared" si="0"/>
        <v>0</v>
      </c>
      <c r="H49" s="629">
        <f t="shared" si="1"/>
        <v>0</v>
      </c>
      <c r="J49" s="1225"/>
      <c r="K49" s="1226"/>
      <c r="L49" s="1229"/>
    </row>
    <row r="50" spans="1:33" ht="15.6" x14ac:dyDescent="0.25">
      <c r="A50" s="1213"/>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6" x14ac:dyDescent="0.25">
      <c r="A51" s="1213"/>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25">
      <c r="A52" s="1213"/>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
      <c r="A53" s="1213"/>
      <c r="B53" s="653" t="s">
        <v>138</v>
      </c>
      <c r="C53" s="630">
        <f>'G-2 Habitat groups'!$AK$17</f>
        <v>0</v>
      </c>
      <c r="D53" s="630">
        <f>'G-2 Habitat groups'!$AL$17</f>
        <v>0</v>
      </c>
      <c r="E53" s="630">
        <f>'G-2 Habitat groups'!$AM$17</f>
        <v>0</v>
      </c>
      <c r="F53" s="630">
        <f>'G-2 Habitat groups'!$AN$17</f>
        <v>0</v>
      </c>
      <c r="G53" s="630">
        <f t="shared" si="2"/>
        <v>0</v>
      </c>
      <c r="H53" s="631">
        <f t="shared" si="2"/>
        <v>0</v>
      </c>
    </row>
    <row r="54" spans="1:33" ht="15.75" customHeight="1" x14ac:dyDescent="0.25">
      <c r="A54" s="1213"/>
    </row>
    <row r="55" spans="1:33" ht="10.199999999999999" customHeight="1" thickBot="1" x14ac:dyDescent="0.3">
      <c r="A55" s="1213"/>
    </row>
    <row r="56" spans="1:33" ht="22.95" customHeight="1" thickBot="1" x14ac:dyDescent="0.5">
      <c r="A56" s="1213"/>
      <c r="B56" s="1224" t="s">
        <v>139</v>
      </c>
      <c r="C56" s="1224"/>
      <c r="D56" s="1224"/>
      <c r="E56" s="1224"/>
      <c r="F56" s="1224"/>
      <c r="G56" s="1224"/>
      <c r="H56" s="1224"/>
      <c r="I56" s="632"/>
      <c r="J56" s="632"/>
      <c r="K56" s="632"/>
      <c r="L56" s="632"/>
      <c r="M56" s="632"/>
    </row>
    <row r="57" spans="1:33" s="634" customFormat="1" ht="38.25" customHeight="1" thickBot="1" x14ac:dyDescent="0.3">
      <c r="A57" s="1213"/>
      <c r="B57" s="625"/>
      <c r="C57" s="1207" t="s">
        <v>111</v>
      </c>
      <c r="D57" s="1207"/>
      <c r="E57" s="1207" t="s">
        <v>140</v>
      </c>
      <c r="F57" s="1207"/>
      <c r="G57" s="1207" t="s">
        <v>141</v>
      </c>
      <c r="H57" s="1207"/>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
      <c r="A58" s="1213"/>
      <c r="B58" s="635" t="s">
        <v>114</v>
      </c>
      <c r="C58" s="636" t="s">
        <v>142</v>
      </c>
      <c r="D58" s="636" t="s">
        <v>143</v>
      </c>
      <c r="E58" s="636" t="s">
        <v>144</v>
      </c>
      <c r="F58" s="636" t="s">
        <v>145</v>
      </c>
      <c r="G58" s="636" t="s">
        <v>146</v>
      </c>
      <c r="H58" s="636" t="s">
        <v>147</v>
      </c>
      <c r="I58" s="633"/>
      <c r="J58" s="633"/>
    </row>
    <row r="59" spans="1:33" ht="15.6" x14ac:dyDescent="0.25">
      <c r="A59" s="1213"/>
      <c r="B59" s="637" t="s">
        <v>124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6" x14ac:dyDescent="0.25">
      <c r="A60" s="1213"/>
      <c r="B60" s="640" t="s">
        <v>125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x14ac:dyDescent="0.25">
      <c r="A61" s="1213"/>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6" x14ac:dyDescent="0.25">
      <c r="A62" s="1213"/>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6" x14ac:dyDescent="0.25">
      <c r="A63" s="1213"/>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6" x14ac:dyDescent="0.25">
      <c r="A64" s="1213"/>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6" x14ac:dyDescent="0.25">
      <c r="A65" s="1213"/>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6" x14ac:dyDescent="0.25">
      <c r="A66" s="1213"/>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25">
      <c r="A67" s="1213"/>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25">
      <c r="A68" s="1213"/>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25">
      <c r="A69" s="1213"/>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25">
      <c r="A70" s="1213"/>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25">
      <c r="A71" s="1213"/>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25">
      <c r="A72" s="1213"/>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3">
      <c r="A73" s="1213"/>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0.95" customHeight="1" thickBot="1" x14ac:dyDescent="0.3">
      <c r="A74" s="1213"/>
      <c r="B74" s="633"/>
      <c r="C74" s="633"/>
      <c r="D74" s="633"/>
      <c r="E74" s="633"/>
      <c r="F74" s="633"/>
      <c r="G74" s="633"/>
      <c r="H74" s="633"/>
      <c r="I74" s="633"/>
      <c r="J74" s="633"/>
    </row>
    <row r="75" spans="1:10" ht="18" thickBot="1" x14ac:dyDescent="0.35">
      <c r="A75" s="1213"/>
      <c r="B75" s="1224" t="s">
        <v>148</v>
      </c>
      <c r="C75" s="1224"/>
      <c r="D75" s="1224"/>
      <c r="E75" s="1224"/>
      <c r="F75" s="1224"/>
      <c r="G75" s="1224"/>
      <c r="H75" s="1224"/>
      <c r="I75" s="633"/>
      <c r="J75" s="633"/>
    </row>
    <row r="76" spans="1:10" ht="33.6" customHeight="1" thickBot="1" x14ac:dyDescent="0.3">
      <c r="A76" s="1213"/>
      <c r="B76" s="625"/>
      <c r="C76" s="1207" t="s">
        <v>111</v>
      </c>
      <c r="D76" s="1207"/>
      <c r="E76" s="1207" t="s">
        <v>149</v>
      </c>
      <c r="F76" s="1207"/>
      <c r="G76" s="1207" t="s">
        <v>150</v>
      </c>
      <c r="H76" s="1207"/>
      <c r="I76" s="633"/>
      <c r="J76" s="633"/>
    </row>
    <row r="77" spans="1:10" ht="45.6" customHeight="1" thickBot="1" x14ac:dyDescent="0.3">
      <c r="A77" s="1213"/>
      <c r="B77" s="635" t="s">
        <v>114</v>
      </c>
      <c r="C77" s="636" t="s">
        <v>151</v>
      </c>
      <c r="D77" s="636" t="s">
        <v>152</v>
      </c>
      <c r="E77" s="636" t="s">
        <v>153</v>
      </c>
      <c r="F77" s="636" t="s">
        <v>154</v>
      </c>
      <c r="G77" s="636" t="s">
        <v>155</v>
      </c>
      <c r="H77" s="636" t="s">
        <v>156</v>
      </c>
      <c r="I77" s="633"/>
      <c r="J77" s="633"/>
    </row>
    <row r="78" spans="1:10" ht="15.75" customHeight="1" x14ac:dyDescent="0.25">
      <c r="A78" s="1213"/>
      <c r="B78" s="637" t="s">
        <v>124</v>
      </c>
      <c r="C78" s="638">
        <f t="shared" ref="C78:H91" si="6">C39+C59</f>
        <v>0</v>
      </c>
      <c r="D78" s="638">
        <f t="shared" si="6"/>
        <v>0</v>
      </c>
      <c r="E78" s="638">
        <f t="shared" si="6"/>
        <v>0</v>
      </c>
      <c r="F78" s="638">
        <f t="shared" si="6"/>
        <v>0</v>
      </c>
      <c r="G78" s="638">
        <f t="shared" si="6"/>
        <v>0</v>
      </c>
      <c r="H78" s="639">
        <f t="shared" si="6"/>
        <v>0</v>
      </c>
      <c r="I78" s="633"/>
      <c r="J78" s="633"/>
    </row>
    <row r="79" spans="1:10" ht="15.75" customHeight="1" x14ac:dyDescent="0.25">
      <c r="A79" s="1213"/>
      <c r="B79" s="640" t="s">
        <v>125</v>
      </c>
      <c r="C79" s="628">
        <f t="shared" si="6"/>
        <v>0.121</v>
      </c>
      <c r="D79" s="628">
        <f t="shared" si="6"/>
        <v>1.452</v>
      </c>
      <c r="E79" s="628">
        <f t="shared" si="6"/>
        <v>0.27549999999999997</v>
      </c>
      <c r="F79" s="628">
        <f t="shared" si="6"/>
        <v>1.77983081865648</v>
      </c>
      <c r="G79" s="628">
        <f t="shared" si="6"/>
        <v>0.15449999999999997</v>
      </c>
      <c r="H79" s="629">
        <f t="shared" si="6"/>
        <v>0.32783081865648001</v>
      </c>
      <c r="I79" s="633"/>
      <c r="J79" s="633"/>
    </row>
    <row r="80" spans="1:10" ht="15.75" customHeight="1" x14ac:dyDescent="0.25">
      <c r="A80" s="1213"/>
      <c r="B80" s="640" t="s">
        <v>126</v>
      </c>
      <c r="C80" s="628">
        <f t="shared" si="6"/>
        <v>0</v>
      </c>
      <c r="D80" s="628">
        <f t="shared" si="6"/>
        <v>0</v>
      </c>
      <c r="E80" s="628">
        <f t="shared" si="6"/>
        <v>0</v>
      </c>
      <c r="F80" s="628">
        <f t="shared" si="6"/>
        <v>0</v>
      </c>
      <c r="G80" s="628">
        <f t="shared" si="6"/>
        <v>0</v>
      </c>
      <c r="H80" s="629">
        <f t="shared" si="6"/>
        <v>0</v>
      </c>
      <c r="I80" s="633"/>
      <c r="J80" s="633"/>
    </row>
    <row r="81" spans="1:10" ht="15.75" customHeight="1" x14ac:dyDescent="0.25">
      <c r="A81" s="1213"/>
      <c r="B81" s="640" t="s">
        <v>127</v>
      </c>
      <c r="C81" s="628">
        <f t="shared" si="6"/>
        <v>4.4999999999999997E-3</v>
      </c>
      <c r="D81" s="628">
        <f t="shared" si="6"/>
        <v>8.9999999999999993E-3</v>
      </c>
      <c r="E81" s="628">
        <f t="shared" si="6"/>
        <v>8.5000000000000006E-3</v>
      </c>
      <c r="F81" s="628">
        <f t="shared" si="6"/>
        <v>2.444E-2</v>
      </c>
      <c r="G81" s="628">
        <f t="shared" si="6"/>
        <v>4.000000000000001E-3</v>
      </c>
      <c r="H81" s="629">
        <f t="shared" si="6"/>
        <v>1.5440000000000001E-2</v>
      </c>
      <c r="I81" s="633"/>
      <c r="J81" s="633"/>
    </row>
    <row r="82" spans="1:10" ht="15.75" customHeight="1" x14ac:dyDescent="0.25">
      <c r="A82" s="1213"/>
      <c r="B82" s="640" t="s">
        <v>128</v>
      </c>
      <c r="C82" s="628">
        <f t="shared" si="6"/>
        <v>0</v>
      </c>
      <c r="D82" s="628">
        <f t="shared" si="6"/>
        <v>0</v>
      </c>
      <c r="E82" s="628">
        <f t="shared" si="6"/>
        <v>0</v>
      </c>
      <c r="F82" s="628">
        <f t="shared" si="6"/>
        <v>0</v>
      </c>
      <c r="G82" s="628">
        <f t="shared" si="6"/>
        <v>0</v>
      </c>
      <c r="H82" s="629">
        <f t="shared" si="6"/>
        <v>0</v>
      </c>
      <c r="I82" s="633"/>
      <c r="J82" s="633"/>
    </row>
    <row r="83" spans="1:10" ht="15.75" customHeight="1" x14ac:dyDescent="0.25">
      <c r="A83" s="1213"/>
      <c r="B83" s="640" t="s">
        <v>129</v>
      </c>
      <c r="C83" s="628">
        <f t="shared" si="6"/>
        <v>4.8600000000000004E-2</v>
      </c>
      <c r="D83" s="628">
        <f t="shared" si="6"/>
        <v>1.9599999999999999E-2</v>
      </c>
      <c r="E83" s="628">
        <f t="shared" si="6"/>
        <v>0.13059999999999999</v>
      </c>
      <c r="F83" s="628">
        <f t="shared" si="6"/>
        <v>8.2603999999999997E-2</v>
      </c>
      <c r="G83" s="628">
        <f t="shared" si="6"/>
        <v>8.199999999999999E-2</v>
      </c>
      <c r="H83" s="629">
        <f t="shared" si="6"/>
        <v>6.3004000000000004E-2</v>
      </c>
      <c r="I83" s="633"/>
      <c r="J83" s="633"/>
    </row>
    <row r="84" spans="1:10" ht="15.75" customHeight="1" x14ac:dyDescent="0.25">
      <c r="A84" s="1213"/>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25">
      <c r="A85" s="1213"/>
      <c r="B85" s="640" t="s">
        <v>131</v>
      </c>
      <c r="C85" s="628">
        <f t="shared" si="6"/>
        <v>0.3644</v>
      </c>
      <c r="D85" s="628">
        <f t="shared" si="6"/>
        <v>7.2151200000000006</v>
      </c>
      <c r="E85" s="628">
        <f t="shared" si="6"/>
        <v>0.1239</v>
      </c>
      <c r="F85" s="628">
        <f t="shared" si="6"/>
        <v>2.45322</v>
      </c>
      <c r="G85" s="628">
        <f t="shared" si="6"/>
        <v>-0.24049999999999999</v>
      </c>
      <c r="H85" s="629">
        <f t="shared" si="6"/>
        <v>-4.7619000000000007</v>
      </c>
      <c r="I85" s="633"/>
      <c r="J85" s="633"/>
    </row>
    <row r="86" spans="1:10" ht="15.6" x14ac:dyDescent="0.25">
      <c r="A86" s="1213"/>
      <c r="B86" s="641" t="s">
        <v>132</v>
      </c>
      <c r="C86" s="628">
        <f t="shared" si="6"/>
        <v>0</v>
      </c>
      <c r="D86" s="628">
        <f t="shared" si="6"/>
        <v>0</v>
      </c>
      <c r="E86" s="628">
        <f t="shared" si="6"/>
        <v>0</v>
      </c>
      <c r="F86" s="628">
        <f t="shared" si="6"/>
        <v>0</v>
      </c>
      <c r="G86" s="628">
        <f t="shared" si="6"/>
        <v>0</v>
      </c>
      <c r="H86" s="629">
        <f t="shared" si="6"/>
        <v>0</v>
      </c>
      <c r="I86" s="633"/>
      <c r="J86" s="633"/>
    </row>
    <row r="87" spans="1:10" ht="15.6" x14ac:dyDescent="0.25">
      <c r="A87" s="1213"/>
      <c r="B87" s="641" t="s">
        <v>133</v>
      </c>
      <c r="C87" s="628">
        <f t="shared" si="6"/>
        <v>0</v>
      </c>
      <c r="D87" s="628">
        <f t="shared" si="6"/>
        <v>0</v>
      </c>
      <c r="E87" s="628">
        <f t="shared" si="6"/>
        <v>0</v>
      </c>
      <c r="F87" s="628">
        <f t="shared" si="6"/>
        <v>0</v>
      </c>
      <c r="G87" s="628">
        <f t="shared" si="6"/>
        <v>0</v>
      </c>
      <c r="H87" s="629">
        <f t="shared" si="6"/>
        <v>0</v>
      </c>
      <c r="I87" s="633"/>
      <c r="J87" s="633"/>
    </row>
    <row r="88" spans="1:10" ht="15.6" x14ac:dyDescent="0.25">
      <c r="A88" s="1213"/>
      <c r="B88" s="641" t="s">
        <v>134</v>
      </c>
      <c r="C88" s="628">
        <f t="shared" si="6"/>
        <v>0</v>
      </c>
      <c r="D88" s="628">
        <f t="shared" si="6"/>
        <v>0</v>
      </c>
      <c r="E88" s="628">
        <f t="shared" si="6"/>
        <v>0</v>
      </c>
      <c r="F88" s="628">
        <f t="shared" si="6"/>
        <v>0</v>
      </c>
      <c r="G88" s="628">
        <f t="shared" si="6"/>
        <v>0</v>
      </c>
      <c r="H88" s="629">
        <f t="shared" si="6"/>
        <v>0</v>
      </c>
      <c r="I88" s="633"/>
      <c r="J88" s="633"/>
    </row>
    <row r="89" spans="1:10" ht="15.6" x14ac:dyDescent="0.25">
      <c r="A89" s="1213"/>
      <c r="B89" s="641" t="s">
        <v>135</v>
      </c>
      <c r="C89" s="628">
        <f t="shared" si="6"/>
        <v>0</v>
      </c>
      <c r="D89" s="628">
        <f t="shared" si="6"/>
        <v>0</v>
      </c>
      <c r="E89" s="628">
        <f t="shared" si="6"/>
        <v>0</v>
      </c>
      <c r="F89" s="628">
        <f t="shared" si="6"/>
        <v>0</v>
      </c>
      <c r="G89" s="628">
        <f t="shared" si="6"/>
        <v>0</v>
      </c>
      <c r="H89" s="629">
        <f t="shared" si="6"/>
        <v>0</v>
      </c>
      <c r="I89" s="633"/>
      <c r="J89" s="633"/>
    </row>
    <row r="90" spans="1:10" ht="15.6" x14ac:dyDescent="0.25">
      <c r="A90" s="1213"/>
      <c r="B90" s="641" t="s">
        <v>136</v>
      </c>
      <c r="C90" s="628">
        <f t="shared" si="6"/>
        <v>0</v>
      </c>
      <c r="D90" s="628">
        <f t="shared" si="6"/>
        <v>0</v>
      </c>
      <c r="E90" s="628">
        <f t="shared" si="6"/>
        <v>0</v>
      </c>
      <c r="F90" s="628">
        <f t="shared" si="6"/>
        <v>0</v>
      </c>
      <c r="G90" s="628">
        <f t="shared" si="6"/>
        <v>0</v>
      </c>
      <c r="H90" s="629">
        <f t="shared" si="6"/>
        <v>0</v>
      </c>
      <c r="I90" s="633"/>
      <c r="J90" s="633"/>
    </row>
    <row r="91" spans="1:10" ht="16.05" customHeight="1" x14ac:dyDescent="0.25">
      <c r="A91" s="1213"/>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
      <c r="A92" s="1214"/>
      <c r="B92" s="653" t="s">
        <v>138</v>
      </c>
      <c r="C92" s="630">
        <f t="shared" ref="C92:H92" si="7">C53+C73</f>
        <v>0</v>
      </c>
      <c r="D92" s="630">
        <f t="shared" si="7"/>
        <v>0</v>
      </c>
      <c r="E92" s="630">
        <f t="shared" si="7"/>
        <v>0</v>
      </c>
      <c r="F92" s="630">
        <f t="shared" si="7"/>
        <v>0</v>
      </c>
      <c r="G92" s="630">
        <f t="shared" si="7"/>
        <v>0</v>
      </c>
      <c r="H92" s="631">
        <f t="shared" si="7"/>
        <v>0</v>
      </c>
    </row>
    <row r="93" spans="1:10" ht="37.950000000000003" customHeight="1" thickTop="1" thickBot="1" x14ac:dyDescent="0.3">
      <c r="A93" s="1215" t="s">
        <v>157</v>
      </c>
    </row>
    <row r="94" spans="1:10" ht="25.8" thickBot="1" x14ac:dyDescent="0.5">
      <c r="A94" s="1216"/>
      <c r="B94" s="1246" t="s">
        <v>158</v>
      </c>
      <c r="C94" s="1247"/>
      <c r="D94" s="1248"/>
    </row>
    <row r="95" spans="1:10" x14ac:dyDescent="0.25">
      <c r="A95" s="1216"/>
    </row>
    <row r="96" spans="1:10" ht="15" customHeight="1" thickBot="1" x14ac:dyDescent="0.3">
      <c r="A96" s="1216"/>
    </row>
    <row r="97" spans="1:12" ht="18" customHeight="1" thickBot="1" x14ac:dyDescent="0.35">
      <c r="A97" s="1216"/>
      <c r="B97" s="1224" t="s">
        <v>159</v>
      </c>
      <c r="C97" s="1224"/>
      <c r="D97" s="1224"/>
      <c r="E97" s="1224"/>
      <c r="F97" s="1224"/>
      <c r="G97" s="1224"/>
      <c r="H97" s="1224"/>
      <c r="J97" s="1230" t="s">
        <v>160</v>
      </c>
      <c r="K97" s="1231"/>
      <c r="L97" s="1232"/>
    </row>
    <row r="98" spans="1:12" ht="16.2" customHeight="1" thickBot="1" x14ac:dyDescent="0.3">
      <c r="A98" s="1216"/>
      <c r="B98" s="625"/>
      <c r="C98" s="1207" t="s">
        <v>111</v>
      </c>
      <c r="D98" s="1207"/>
      <c r="E98" s="1207" t="s">
        <v>112</v>
      </c>
      <c r="F98" s="1207"/>
      <c r="G98" s="1207" t="s">
        <v>113</v>
      </c>
      <c r="H98" s="1207"/>
      <c r="J98" s="1233"/>
      <c r="K98" s="1234"/>
      <c r="L98" s="1235"/>
    </row>
    <row r="99" spans="1:12" ht="47.4" thickBot="1" x14ac:dyDescent="0.3">
      <c r="A99" s="1216"/>
      <c r="B99" s="626" t="s">
        <v>161</v>
      </c>
      <c r="C99" s="625" t="s">
        <v>162</v>
      </c>
      <c r="D99" s="625" t="s">
        <v>116</v>
      </c>
      <c r="E99" s="625" t="s">
        <v>163</v>
      </c>
      <c r="F99" s="625" t="s">
        <v>118</v>
      </c>
      <c r="G99" s="625" t="s">
        <v>164</v>
      </c>
      <c r="H99" s="625" t="s">
        <v>120</v>
      </c>
      <c r="J99" s="1236" t="s">
        <v>121</v>
      </c>
      <c r="K99" s="1238" t="s">
        <v>165</v>
      </c>
      <c r="L99" s="1240" t="s">
        <v>166</v>
      </c>
    </row>
    <row r="100" spans="1:12" ht="15.6" x14ac:dyDescent="0.25">
      <c r="A100" s="1216"/>
      <c r="B100" s="644" t="s">
        <v>167</v>
      </c>
      <c r="C100" s="627">
        <f>'G-2 Habitat groups'!E150</f>
        <v>0</v>
      </c>
      <c r="D100" s="627">
        <f>'G-2 Habitat groups'!F150</f>
        <v>0</v>
      </c>
      <c r="E100" s="627">
        <f>'G-2 Habitat groups'!O150</f>
        <v>0</v>
      </c>
      <c r="F100" s="627">
        <f>'G-2 Habitat groups'!P150</f>
        <v>0</v>
      </c>
      <c r="G100" s="627">
        <f>E100-C100</f>
        <v>0</v>
      </c>
      <c r="H100" s="627">
        <f t="shared" ref="H100:H112" si="8">F100-D100</f>
        <v>0</v>
      </c>
      <c r="J100" s="1237"/>
      <c r="K100" s="1239"/>
      <c r="L100" s="1241"/>
    </row>
    <row r="101" spans="1:12" ht="15.6" x14ac:dyDescent="0.25">
      <c r="A101" s="1216"/>
      <c r="B101" s="645" t="s">
        <v>168</v>
      </c>
      <c r="C101" s="627">
        <f>'G-2 Habitat groups'!E151</f>
        <v>0</v>
      </c>
      <c r="D101" s="627">
        <f>'G-2 Habitat groups'!F151</f>
        <v>0</v>
      </c>
      <c r="E101" s="627">
        <f>'G-2 Habitat groups'!O151</f>
        <v>0</v>
      </c>
      <c r="F101" s="627">
        <f>'G-2 Habitat groups'!P151</f>
        <v>0</v>
      </c>
      <c r="G101" s="627">
        <f t="shared" ref="G101:G112" si="9">E101-C101</f>
        <v>0</v>
      </c>
      <c r="H101" s="627">
        <f t="shared" si="8"/>
        <v>0</v>
      </c>
      <c r="J101" s="1220" t="str">
        <f>'G-1 All Habitats'!$V$3</f>
        <v>V.High</v>
      </c>
      <c r="K101" s="1222">
        <f>SUMIF('B-1 On-Site Hedge Baseline'!$F$10:$F$257,'Detailed Results'!J101,'B-1 On-Site Hedge Baseline'!$T$10:$T$257)+SUMIF('E-1 Off-Site Hedge Baseline'!$F$10:$F$257,'Detailed Results'!J101,'E-1 Off-Site Hedge Baseline'!$W$10:$W$257)</f>
        <v>0</v>
      </c>
      <c r="L101" s="1227" t="str">
        <f>IF(K101=0,"",(K101/(SUM($K$101:$K$110)))*100)</f>
        <v/>
      </c>
    </row>
    <row r="102" spans="1:12" ht="15.6" x14ac:dyDescent="0.25">
      <c r="A102" s="1216"/>
      <c r="B102" s="645" t="s">
        <v>169</v>
      </c>
      <c r="C102" s="627">
        <f>'G-2 Habitat groups'!E152</f>
        <v>0</v>
      </c>
      <c r="D102" s="627">
        <f>'G-2 Habitat groups'!F152</f>
        <v>0</v>
      </c>
      <c r="E102" s="627">
        <f>'G-2 Habitat groups'!O152</f>
        <v>0</v>
      </c>
      <c r="F102" s="627">
        <f>'G-2 Habitat groups'!P152</f>
        <v>0</v>
      </c>
      <c r="G102" s="627">
        <f t="shared" si="9"/>
        <v>0</v>
      </c>
      <c r="H102" s="627">
        <f t="shared" si="8"/>
        <v>0</v>
      </c>
      <c r="J102" s="1221"/>
      <c r="K102" s="1223"/>
      <c r="L102" s="1228"/>
    </row>
    <row r="103" spans="1:12" ht="15.6" x14ac:dyDescent="0.25">
      <c r="A103" s="1216"/>
      <c r="B103" s="645" t="s">
        <v>170</v>
      </c>
      <c r="C103" s="627">
        <f>'G-2 Habitat groups'!E153</f>
        <v>0</v>
      </c>
      <c r="D103" s="627">
        <f>'G-2 Habitat groups'!F153</f>
        <v>0</v>
      </c>
      <c r="E103" s="627">
        <f>'G-2 Habitat groups'!O153</f>
        <v>0</v>
      </c>
      <c r="F103" s="627">
        <f>'G-2 Habitat groups'!P153</f>
        <v>0</v>
      </c>
      <c r="G103" s="627">
        <f t="shared" si="9"/>
        <v>0</v>
      </c>
      <c r="H103" s="627">
        <f t="shared" si="8"/>
        <v>0</v>
      </c>
      <c r="J103" s="1220" t="str">
        <f>'G-1 All Habitats'!$V$4</f>
        <v>High</v>
      </c>
      <c r="K103" s="1222">
        <f>SUMIF('B-1 On-Site Hedge Baseline'!$F$10:$F$257,'Detailed Results'!J103,'B-1 On-Site Hedge Baseline'!$T$10:$T$257)+SUMIF('E-1 Off-Site Hedge Baseline'!$F$10:$F$257,'Detailed Results'!J103,'E-1 Off-Site Hedge Baseline'!$W$10:$W$257)</f>
        <v>0</v>
      </c>
      <c r="L103" s="1227" t="str">
        <f>IF(K103=0,"",(K103/(SUM($K$101:$K$110)))*100)</f>
        <v/>
      </c>
    </row>
    <row r="104" spans="1:12" ht="15.6" x14ac:dyDescent="0.25">
      <c r="A104" s="1216"/>
      <c r="B104" s="645" t="s">
        <v>171</v>
      </c>
      <c r="C104" s="627">
        <f>'G-2 Habitat groups'!E154</f>
        <v>0</v>
      </c>
      <c r="D104" s="627">
        <f>'G-2 Habitat groups'!F154</f>
        <v>0</v>
      </c>
      <c r="E104" s="627">
        <f>'G-2 Habitat groups'!O154</f>
        <v>0</v>
      </c>
      <c r="F104" s="627">
        <f>'G-2 Habitat groups'!P154</f>
        <v>0</v>
      </c>
      <c r="G104" s="627">
        <f t="shared" si="9"/>
        <v>0</v>
      </c>
      <c r="H104" s="627">
        <f t="shared" si="8"/>
        <v>0</v>
      </c>
      <c r="J104" s="1221"/>
      <c r="K104" s="1223"/>
      <c r="L104" s="1228"/>
    </row>
    <row r="105" spans="1:12" ht="15.6" x14ac:dyDescent="0.25">
      <c r="A105" s="1216"/>
      <c r="B105" s="645" t="s">
        <v>172</v>
      </c>
      <c r="C105" s="627">
        <f>'G-2 Habitat groups'!E155</f>
        <v>0</v>
      </c>
      <c r="D105" s="627">
        <f>'G-2 Habitat groups'!F155</f>
        <v>0</v>
      </c>
      <c r="E105" s="627">
        <f>'G-2 Habitat groups'!O155</f>
        <v>0</v>
      </c>
      <c r="F105" s="627">
        <f>'G-2 Habitat groups'!P155</f>
        <v>0</v>
      </c>
      <c r="G105" s="627">
        <f t="shared" si="9"/>
        <v>0</v>
      </c>
      <c r="H105" s="627">
        <f t="shared" si="8"/>
        <v>0</v>
      </c>
      <c r="J105" s="1220" t="str">
        <f>'G-1 All Habitats'!$V$5</f>
        <v>Medium</v>
      </c>
      <c r="K105" s="1222">
        <f>SUMIF('B-1 On-Site Hedge Baseline'!$F$10:$F$257,'Detailed Results'!J105,'B-1 On-Site Hedge Baseline'!$T$10:$T$257)+SUMIF('E-1 Off-Site Hedge Baseline'!$F$10:$F$257,'Detailed Results'!J105,'E-1 Off-Site Hedge Baseline'!$W$10:$W$257)</f>
        <v>0</v>
      </c>
      <c r="L105" s="1227" t="str">
        <f>IF(K105=0,"",(K105/(SUM($K$101:$K$110)))*100)</f>
        <v/>
      </c>
    </row>
    <row r="106" spans="1:12" ht="15.6" x14ac:dyDescent="0.25">
      <c r="A106" s="1216"/>
      <c r="B106" s="645" t="s">
        <v>173</v>
      </c>
      <c r="C106" s="627">
        <f>'G-2 Habitat groups'!E156</f>
        <v>0</v>
      </c>
      <c r="D106" s="627">
        <f>'G-2 Habitat groups'!F156</f>
        <v>0</v>
      </c>
      <c r="E106" s="627">
        <f>'G-2 Habitat groups'!O156</f>
        <v>0</v>
      </c>
      <c r="F106" s="627">
        <f>'G-2 Habitat groups'!P156</f>
        <v>0</v>
      </c>
      <c r="G106" s="627">
        <f t="shared" si="9"/>
        <v>0</v>
      </c>
      <c r="H106" s="627">
        <f t="shared" si="8"/>
        <v>0</v>
      </c>
      <c r="J106" s="1221"/>
      <c r="K106" s="1223"/>
      <c r="L106" s="1228"/>
    </row>
    <row r="107" spans="1:12" ht="15.6" x14ac:dyDescent="0.25">
      <c r="A107" s="1216"/>
      <c r="B107" s="646" t="s">
        <v>174</v>
      </c>
      <c r="C107" s="627">
        <f>'G-2 Habitat groups'!E157</f>
        <v>0</v>
      </c>
      <c r="D107" s="627">
        <f>'G-2 Habitat groups'!F157</f>
        <v>0</v>
      </c>
      <c r="E107" s="627">
        <f>'G-2 Habitat groups'!O157</f>
        <v>0</v>
      </c>
      <c r="F107" s="627">
        <f>'G-2 Habitat groups'!P157</f>
        <v>0</v>
      </c>
      <c r="G107" s="627">
        <f t="shared" si="9"/>
        <v>0</v>
      </c>
      <c r="H107" s="627">
        <f t="shared" si="8"/>
        <v>0</v>
      </c>
      <c r="J107" s="1220" t="str">
        <f>'G-1 All Habitats'!$V$6</f>
        <v>Low</v>
      </c>
      <c r="K107" s="1222">
        <f>SUMIF('B-1 On-Site Hedge Baseline'!$F$10:$F$257,'Detailed Results'!J107,'B-1 On-Site Hedge Baseline'!$T$10:$T$257)+SUMIF('E-1 Off-Site Hedge Baseline'!$F$10:$F$257,'Detailed Results'!J107,'E-1 Off-Site Hedge Baseline'!$W$10:$W$257)</f>
        <v>0</v>
      </c>
      <c r="L107" s="1227" t="str">
        <f>IF(K107=0,"",(K107/(SUM($K$101:$K$110)))*100)</f>
        <v/>
      </c>
    </row>
    <row r="108" spans="1:12" ht="15.6" x14ac:dyDescent="0.25">
      <c r="A108" s="1216"/>
      <c r="B108" s="647" t="s">
        <v>175</v>
      </c>
      <c r="C108" s="627">
        <f>'G-2 Habitat groups'!E158</f>
        <v>0</v>
      </c>
      <c r="D108" s="627">
        <f>'G-2 Habitat groups'!F158</f>
        <v>0</v>
      </c>
      <c r="E108" s="627">
        <f>'G-2 Habitat groups'!O158</f>
        <v>0</v>
      </c>
      <c r="F108" s="627">
        <f>'G-2 Habitat groups'!P158</f>
        <v>0</v>
      </c>
      <c r="G108" s="627">
        <f t="shared" si="9"/>
        <v>0</v>
      </c>
      <c r="H108" s="627">
        <f t="shared" si="8"/>
        <v>0</v>
      </c>
      <c r="J108" s="1221"/>
      <c r="K108" s="1223"/>
      <c r="L108" s="1228"/>
    </row>
    <row r="109" spans="1:12" ht="15.6" x14ac:dyDescent="0.25">
      <c r="A109" s="1216"/>
      <c r="B109" s="647" t="s">
        <v>176</v>
      </c>
      <c r="C109" s="627">
        <f>'G-2 Habitat groups'!E159</f>
        <v>0</v>
      </c>
      <c r="D109" s="627">
        <f>'G-2 Habitat groups'!F159</f>
        <v>0</v>
      </c>
      <c r="E109" s="627">
        <f>'G-2 Habitat groups'!O159</f>
        <v>0</v>
      </c>
      <c r="F109" s="627">
        <f>'G-2 Habitat groups'!P159</f>
        <v>0</v>
      </c>
      <c r="G109" s="627">
        <f t="shared" si="9"/>
        <v>0</v>
      </c>
      <c r="H109" s="627">
        <f t="shared" si="8"/>
        <v>0</v>
      </c>
      <c r="J109" s="1220" t="str">
        <f>'G-1 All Habitats'!$V$7</f>
        <v>V.Low</v>
      </c>
      <c r="K109" s="1222">
        <f>SUMIF('B-1 On-Site Hedge Baseline'!$F$10:$F$257,'Detailed Results'!J109,'B-1 On-Site Hedge Baseline'!$T$10:$T$257)+SUMIF('E-1 Off-Site Hedge Baseline'!$F$10:$F$257,'Detailed Results'!J109,'E-1 Off-Site Hedge Baseline'!$W$10:$W$257)</f>
        <v>0</v>
      </c>
      <c r="L109" s="1227" t="str">
        <f>IF(K109=0,"",(K109/(SUM($K$101:$K$110)))*100)</f>
        <v/>
      </c>
    </row>
    <row r="110" spans="1:12" ht="16.2" thickBot="1" x14ac:dyDescent="0.3">
      <c r="A110" s="1216"/>
      <c r="B110" s="647" t="s">
        <v>177</v>
      </c>
      <c r="C110" s="627">
        <f>'G-2 Habitat groups'!E160</f>
        <v>0</v>
      </c>
      <c r="D110" s="627">
        <f>'G-2 Habitat groups'!F160</f>
        <v>0</v>
      </c>
      <c r="E110" s="627">
        <f>'G-2 Habitat groups'!O160</f>
        <v>0</v>
      </c>
      <c r="F110" s="627">
        <f>'G-2 Habitat groups'!P160</f>
        <v>0</v>
      </c>
      <c r="G110" s="627">
        <f t="shared" si="9"/>
        <v>0</v>
      </c>
      <c r="H110" s="627">
        <f t="shared" si="8"/>
        <v>0</v>
      </c>
      <c r="J110" s="1225"/>
      <c r="K110" s="1226"/>
      <c r="L110" s="1229"/>
    </row>
    <row r="111" spans="1:12" ht="15.6" x14ac:dyDescent="0.25">
      <c r="A111" s="1216"/>
      <c r="B111" s="647" t="s">
        <v>178</v>
      </c>
      <c r="C111" s="627">
        <f>'G-2 Habitat groups'!E161</f>
        <v>0</v>
      </c>
      <c r="D111" s="627">
        <f>'G-2 Habitat groups'!F161</f>
        <v>0</v>
      </c>
      <c r="E111" s="627">
        <f>'G-2 Habitat groups'!O161</f>
        <v>0</v>
      </c>
      <c r="F111" s="627">
        <f>'G-2 Habitat groups'!P161</f>
        <v>0</v>
      </c>
      <c r="G111" s="627">
        <f t="shared" si="9"/>
        <v>0</v>
      </c>
      <c r="H111" s="627">
        <f t="shared" si="8"/>
        <v>0</v>
      </c>
    </row>
    <row r="112" spans="1:12" ht="15.6" x14ac:dyDescent="0.25">
      <c r="A112" s="1216"/>
      <c r="B112" s="647" t="s">
        <v>179</v>
      </c>
      <c r="C112" s="627">
        <f>'G-2 Habitat groups'!E162</f>
        <v>0</v>
      </c>
      <c r="D112" s="627">
        <f>'G-2 Habitat groups'!F162</f>
        <v>0</v>
      </c>
      <c r="E112" s="627">
        <f>'G-2 Habitat groups'!O162</f>
        <v>0</v>
      </c>
      <c r="F112" s="627">
        <f>'G-2 Habitat groups'!P162</f>
        <v>0</v>
      </c>
      <c r="G112" s="627">
        <f t="shared" si="9"/>
        <v>0</v>
      </c>
      <c r="H112" s="627">
        <f t="shared" si="8"/>
        <v>0</v>
      </c>
    </row>
    <row r="113" spans="1:8" x14ac:dyDescent="0.25">
      <c r="A113" s="1216"/>
    </row>
    <row r="114" spans="1:8" x14ac:dyDescent="0.25">
      <c r="A114" s="1216"/>
    </row>
    <row r="115" spans="1:8" x14ac:dyDescent="0.25">
      <c r="A115" s="1216"/>
    </row>
    <row r="116" spans="1:8" ht="14.4" thickBot="1" x14ac:dyDescent="0.3">
      <c r="A116" s="1216"/>
    </row>
    <row r="117" spans="1:8" ht="18" thickBot="1" x14ac:dyDescent="0.35">
      <c r="A117" s="1216"/>
      <c r="B117" s="1224" t="s">
        <v>180</v>
      </c>
      <c r="C117" s="1224"/>
      <c r="D117" s="1224"/>
      <c r="E117" s="1224"/>
      <c r="F117" s="1224"/>
      <c r="G117" s="1224"/>
      <c r="H117" s="1224"/>
    </row>
    <row r="118" spans="1:8" ht="16.2" thickBot="1" x14ac:dyDescent="0.3">
      <c r="A118" s="1216"/>
      <c r="B118" s="625"/>
      <c r="C118" s="1207" t="s">
        <v>80</v>
      </c>
      <c r="D118" s="1207"/>
      <c r="E118" s="1207" t="s">
        <v>140</v>
      </c>
      <c r="F118" s="1207"/>
      <c r="G118" s="1207" t="s">
        <v>141</v>
      </c>
      <c r="H118" s="1207"/>
    </row>
    <row r="119" spans="1:8" ht="47.4" thickBot="1" x14ac:dyDescent="0.3">
      <c r="A119" s="1216"/>
      <c r="B119" s="626" t="s">
        <v>161</v>
      </c>
      <c r="C119" s="625" t="s">
        <v>181</v>
      </c>
      <c r="D119" s="625" t="s">
        <v>143</v>
      </c>
      <c r="E119" s="625" t="s">
        <v>182</v>
      </c>
      <c r="F119" s="625" t="s">
        <v>145</v>
      </c>
      <c r="G119" s="625" t="s">
        <v>183</v>
      </c>
      <c r="H119" s="625" t="s">
        <v>147</v>
      </c>
    </row>
    <row r="120" spans="1:8" ht="15.6" x14ac:dyDescent="0.25">
      <c r="A120" s="1216"/>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6" x14ac:dyDescent="0.25">
      <c r="A121" s="1216"/>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6" x14ac:dyDescent="0.25">
      <c r="A122" s="1216"/>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6" x14ac:dyDescent="0.25">
      <c r="A123" s="1216"/>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6" x14ac:dyDescent="0.25">
      <c r="A124" s="1216"/>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6" x14ac:dyDescent="0.25">
      <c r="A125" s="1216"/>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6" x14ac:dyDescent="0.25">
      <c r="A126" s="1216"/>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6" x14ac:dyDescent="0.25">
      <c r="A127" s="1216"/>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6" x14ac:dyDescent="0.25">
      <c r="A128" s="1216"/>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6" x14ac:dyDescent="0.25">
      <c r="A129" s="1216"/>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6" x14ac:dyDescent="0.25">
      <c r="A130" s="1216"/>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6" x14ac:dyDescent="0.25">
      <c r="A131" s="1216"/>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6" x14ac:dyDescent="0.25">
      <c r="A132" s="1216"/>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25">
      <c r="A133" s="1216"/>
      <c r="B133" s="633"/>
      <c r="C133" s="633"/>
    </row>
    <row r="134" spans="1:8" x14ac:dyDescent="0.25">
      <c r="A134" s="1216"/>
      <c r="B134" s="633"/>
      <c r="C134" s="633"/>
    </row>
    <row r="135" spans="1:8" x14ac:dyDescent="0.25">
      <c r="A135" s="1216"/>
      <c r="B135" s="633"/>
      <c r="C135" s="633"/>
    </row>
    <row r="136" spans="1:8" ht="14.4" thickBot="1" x14ac:dyDescent="0.3">
      <c r="A136" s="1216"/>
      <c r="B136" s="633"/>
      <c r="C136" s="633"/>
    </row>
    <row r="137" spans="1:8" ht="18" thickBot="1" x14ac:dyDescent="0.35">
      <c r="A137" s="1216"/>
      <c r="B137" s="1224" t="s">
        <v>184</v>
      </c>
      <c r="C137" s="1224"/>
      <c r="D137" s="1224"/>
      <c r="E137" s="1224"/>
      <c r="F137" s="1224"/>
      <c r="G137" s="1224"/>
      <c r="H137" s="1224"/>
    </row>
    <row r="138" spans="1:8" ht="16.2" thickBot="1" x14ac:dyDescent="0.3">
      <c r="A138" s="1216"/>
      <c r="B138" s="625"/>
      <c r="C138" s="1207" t="s">
        <v>111</v>
      </c>
      <c r="D138" s="1207"/>
      <c r="E138" s="1207" t="s">
        <v>185</v>
      </c>
      <c r="F138" s="1207"/>
      <c r="G138" s="1207" t="s">
        <v>186</v>
      </c>
      <c r="H138" s="1207"/>
    </row>
    <row r="139" spans="1:8" ht="47.4" thickBot="1" x14ac:dyDescent="0.3">
      <c r="A139" s="1216"/>
      <c r="B139" s="626" t="s">
        <v>161</v>
      </c>
      <c r="C139" s="625" t="s">
        <v>206</v>
      </c>
      <c r="D139" s="625" t="s">
        <v>152</v>
      </c>
      <c r="E139" s="625" t="s">
        <v>187</v>
      </c>
      <c r="F139" s="625" t="s">
        <v>154</v>
      </c>
      <c r="G139" s="625" t="s">
        <v>188</v>
      </c>
      <c r="H139" s="625" t="s">
        <v>156</v>
      </c>
    </row>
    <row r="140" spans="1:8" ht="15.6" x14ac:dyDescent="0.25">
      <c r="A140" s="1216"/>
      <c r="B140" s="644" t="s">
        <v>167</v>
      </c>
      <c r="C140" s="628">
        <f t="shared" ref="C140:H140" si="12">C100+C120</f>
        <v>0</v>
      </c>
      <c r="D140" s="628">
        <f t="shared" si="12"/>
        <v>0</v>
      </c>
      <c r="E140" s="628">
        <f t="shared" si="12"/>
        <v>0</v>
      </c>
      <c r="F140" s="628">
        <f t="shared" si="12"/>
        <v>0</v>
      </c>
      <c r="G140" s="628">
        <f t="shared" si="12"/>
        <v>0</v>
      </c>
      <c r="H140" s="628">
        <f t="shared" si="12"/>
        <v>0</v>
      </c>
    </row>
    <row r="141" spans="1:8" ht="15.6" x14ac:dyDescent="0.25">
      <c r="A141" s="1216"/>
      <c r="B141" s="645" t="s">
        <v>168</v>
      </c>
      <c r="C141" s="628">
        <f t="shared" ref="C141:H141" si="13">C101+C121</f>
        <v>0</v>
      </c>
      <c r="D141" s="628">
        <f t="shared" si="13"/>
        <v>0</v>
      </c>
      <c r="E141" s="628">
        <f t="shared" si="13"/>
        <v>0</v>
      </c>
      <c r="F141" s="628">
        <f t="shared" si="13"/>
        <v>0</v>
      </c>
      <c r="G141" s="628">
        <f t="shared" si="13"/>
        <v>0</v>
      </c>
      <c r="H141" s="628">
        <f t="shared" si="13"/>
        <v>0</v>
      </c>
    </row>
    <row r="142" spans="1:8" ht="15.6" x14ac:dyDescent="0.25">
      <c r="A142" s="1216"/>
      <c r="B142" s="645" t="s">
        <v>169</v>
      </c>
      <c r="C142" s="628">
        <f t="shared" ref="C142:H142" si="14">C102+C122</f>
        <v>0</v>
      </c>
      <c r="D142" s="628">
        <f t="shared" si="14"/>
        <v>0</v>
      </c>
      <c r="E142" s="628">
        <f t="shared" si="14"/>
        <v>0</v>
      </c>
      <c r="F142" s="628">
        <f t="shared" si="14"/>
        <v>0</v>
      </c>
      <c r="G142" s="628">
        <f t="shared" si="14"/>
        <v>0</v>
      </c>
      <c r="H142" s="628">
        <f t="shared" si="14"/>
        <v>0</v>
      </c>
    </row>
    <row r="143" spans="1:8" ht="15.6" x14ac:dyDescent="0.25">
      <c r="A143" s="1216"/>
      <c r="B143" s="645" t="s">
        <v>170</v>
      </c>
      <c r="C143" s="628">
        <f t="shared" ref="C143:H143" si="15">C103+C123</f>
        <v>0</v>
      </c>
      <c r="D143" s="628">
        <f t="shared" si="15"/>
        <v>0</v>
      </c>
      <c r="E143" s="628">
        <f t="shared" si="15"/>
        <v>0</v>
      </c>
      <c r="F143" s="628">
        <f t="shared" si="15"/>
        <v>0</v>
      </c>
      <c r="G143" s="628">
        <f t="shared" si="15"/>
        <v>0</v>
      </c>
      <c r="H143" s="628">
        <f t="shared" si="15"/>
        <v>0</v>
      </c>
    </row>
    <row r="144" spans="1:8" ht="15.6" x14ac:dyDescent="0.25">
      <c r="A144" s="1216"/>
      <c r="B144" s="645" t="s">
        <v>171</v>
      </c>
      <c r="C144" s="628">
        <f t="shared" ref="C144:H144" si="16">C104+C124</f>
        <v>0</v>
      </c>
      <c r="D144" s="628">
        <f t="shared" si="16"/>
        <v>0</v>
      </c>
      <c r="E144" s="628">
        <f t="shared" si="16"/>
        <v>0</v>
      </c>
      <c r="F144" s="628">
        <f t="shared" si="16"/>
        <v>0</v>
      </c>
      <c r="G144" s="628">
        <f t="shared" si="16"/>
        <v>0</v>
      </c>
      <c r="H144" s="628">
        <f t="shared" si="16"/>
        <v>0</v>
      </c>
    </row>
    <row r="145" spans="1:12" ht="15.6" x14ac:dyDescent="0.25">
      <c r="A145" s="1216"/>
      <c r="B145" s="645" t="s">
        <v>172</v>
      </c>
      <c r="C145" s="628">
        <f t="shared" ref="C145:H145" si="17">C105+C125</f>
        <v>0</v>
      </c>
      <c r="D145" s="628">
        <f t="shared" si="17"/>
        <v>0</v>
      </c>
      <c r="E145" s="628">
        <f t="shared" si="17"/>
        <v>0</v>
      </c>
      <c r="F145" s="628">
        <f t="shared" si="17"/>
        <v>0</v>
      </c>
      <c r="G145" s="628">
        <f t="shared" si="17"/>
        <v>0</v>
      </c>
      <c r="H145" s="628">
        <f t="shared" si="17"/>
        <v>0</v>
      </c>
    </row>
    <row r="146" spans="1:12" ht="15.6" x14ac:dyDescent="0.25">
      <c r="A146" s="1216"/>
      <c r="B146" s="645" t="s">
        <v>173</v>
      </c>
      <c r="C146" s="628">
        <f t="shared" ref="C146:H146" si="18">C106+C126</f>
        <v>0</v>
      </c>
      <c r="D146" s="628">
        <f t="shared" si="18"/>
        <v>0</v>
      </c>
      <c r="E146" s="628">
        <f t="shared" si="18"/>
        <v>0</v>
      </c>
      <c r="F146" s="628">
        <f t="shared" si="18"/>
        <v>0</v>
      </c>
      <c r="G146" s="628">
        <f t="shared" si="18"/>
        <v>0</v>
      </c>
      <c r="H146" s="628">
        <f t="shared" si="18"/>
        <v>0</v>
      </c>
    </row>
    <row r="147" spans="1:12" ht="15.6" x14ac:dyDescent="0.25">
      <c r="A147" s="1216"/>
      <c r="B147" s="646" t="s">
        <v>174</v>
      </c>
      <c r="C147" s="628">
        <f t="shared" ref="C147:H147" si="19">C107+C127</f>
        <v>0</v>
      </c>
      <c r="D147" s="628">
        <f t="shared" si="19"/>
        <v>0</v>
      </c>
      <c r="E147" s="628">
        <f t="shared" si="19"/>
        <v>0</v>
      </c>
      <c r="F147" s="628">
        <f t="shared" si="19"/>
        <v>0</v>
      </c>
      <c r="G147" s="628">
        <f t="shared" si="19"/>
        <v>0</v>
      </c>
      <c r="H147" s="628">
        <f t="shared" si="19"/>
        <v>0</v>
      </c>
    </row>
    <row r="148" spans="1:12" ht="15.6" x14ac:dyDescent="0.25">
      <c r="A148" s="1216"/>
      <c r="B148" s="647" t="s">
        <v>175</v>
      </c>
      <c r="C148" s="628">
        <f t="shared" ref="C148:H148" si="20">C108+C128</f>
        <v>0</v>
      </c>
      <c r="D148" s="628">
        <f t="shared" si="20"/>
        <v>0</v>
      </c>
      <c r="E148" s="628">
        <f t="shared" si="20"/>
        <v>0</v>
      </c>
      <c r="F148" s="628">
        <f t="shared" si="20"/>
        <v>0</v>
      </c>
      <c r="G148" s="628">
        <f t="shared" si="20"/>
        <v>0</v>
      </c>
      <c r="H148" s="628">
        <f t="shared" si="20"/>
        <v>0</v>
      </c>
    </row>
    <row r="149" spans="1:12" ht="15.6" x14ac:dyDescent="0.25">
      <c r="A149" s="1216"/>
      <c r="B149" s="647" t="s">
        <v>176</v>
      </c>
      <c r="C149" s="628">
        <f t="shared" ref="C149:H149" si="21">C109+C129</f>
        <v>0</v>
      </c>
      <c r="D149" s="628">
        <f t="shared" si="21"/>
        <v>0</v>
      </c>
      <c r="E149" s="628">
        <f t="shared" si="21"/>
        <v>0</v>
      </c>
      <c r="F149" s="628">
        <f t="shared" si="21"/>
        <v>0</v>
      </c>
      <c r="G149" s="628">
        <f t="shared" si="21"/>
        <v>0</v>
      </c>
      <c r="H149" s="628">
        <f t="shared" si="21"/>
        <v>0</v>
      </c>
    </row>
    <row r="150" spans="1:12" ht="15.6" x14ac:dyDescent="0.25">
      <c r="A150" s="1216"/>
      <c r="B150" s="647" t="s">
        <v>177</v>
      </c>
      <c r="C150" s="628">
        <f t="shared" ref="C150:H150" si="22">C110+C130</f>
        <v>0</v>
      </c>
      <c r="D150" s="628">
        <f t="shared" si="22"/>
        <v>0</v>
      </c>
      <c r="E150" s="628">
        <f t="shared" si="22"/>
        <v>0</v>
      </c>
      <c r="F150" s="628">
        <f t="shared" si="22"/>
        <v>0</v>
      </c>
      <c r="G150" s="628">
        <f t="shared" si="22"/>
        <v>0</v>
      </c>
      <c r="H150" s="628">
        <f t="shared" si="22"/>
        <v>0</v>
      </c>
    </row>
    <row r="151" spans="1:12" ht="15.6" x14ac:dyDescent="0.25">
      <c r="A151" s="1216"/>
      <c r="B151" s="647" t="s">
        <v>178</v>
      </c>
      <c r="C151" s="628">
        <f t="shared" ref="C151:H151" si="23">C111+C131</f>
        <v>0</v>
      </c>
      <c r="D151" s="628">
        <f t="shared" si="23"/>
        <v>0</v>
      </c>
      <c r="E151" s="628">
        <f t="shared" si="23"/>
        <v>0</v>
      </c>
      <c r="F151" s="628">
        <f t="shared" si="23"/>
        <v>0</v>
      </c>
      <c r="G151" s="628">
        <f t="shared" si="23"/>
        <v>0</v>
      </c>
      <c r="H151" s="628">
        <f t="shared" si="23"/>
        <v>0</v>
      </c>
    </row>
    <row r="152" spans="1:12" ht="15.6" x14ac:dyDescent="0.25">
      <c r="A152" s="1216"/>
      <c r="B152" s="647" t="s">
        <v>179</v>
      </c>
      <c r="C152" s="628">
        <f t="shared" ref="C152:H152" si="24">C112+C132</f>
        <v>0</v>
      </c>
      <c r="D152" s="628">
        <f t="shared" si="24"/>
        <v>0</v>
      </c>
      <c r="E152" s="628">
        <f t="shared" si="24"/>
        <v>0</v>
      </c>
      <c r="F152" s="628">
        <f t="shared" si="24"/>
        <v>0</v>
      </c>
      <c r="G152" s="628">
        <f t="shared" si="24"/>
        <v>0</v>
      </c>
      <c r="H152" s="628">
        <f t="shared" si="24"/>
        <v>0</v>
      </c>
    </row>
    <row r="153" spans="1:12" x14ac:dyDescent="0.25">
      <c r="A153" s="1216"/>
    </row>
    <row r="154" spans="1:12" ht="14.4" thickBot="1" x14ac:dyDescent="0.3">
      <c r="A154" s="1217"/>
    </row>
    <row r="155" spans="1:12" s="622" customFormat="1" ht="31.95" customHeight="1" thickTop="1" x14ac:dyDescent="0.25">
      <c r="A155" s="1218" t="s">
        <v>189</v>
      </c>
    </row>
    <row r="156" spans="1:12" ht="14.4" thickBot="1" x14ac:dyDescent="0.3">
      <c r="A156" s="1219"/>
    </row>
    <row r="157" spans="1:12" ht="25.8" thickBot="1" x14ac:dyDescent="0.5">
      <c r="A157" s="1219"/>
      <c r="B157" s="1246" t="s">
        <v>59</v>
      </c>
      <c r="C157" s="1247"/>
      <c r="D157" s="1248"/>
    </row>
    <row r="158" spans="1:12" x14ac:dyDescent="0.25">
      <c r="A158" s="1219"/>
    </row>
    <row r="159" spans="1:12" ht="14.4" thickBot="1" x14ac:dyDescent="0.3">
      <c r="A159" s="1219"/>
    </row>
    <row r="160" spans="1:12" ht="18" thickBot="1" x14ac:dyDescent="0.35">
      <c r="A160" s="1219"/>
      <c r="B160" s="1224" t="s">
        <v>190</v>
      </c>
      <c r="C160" s="1224"/>
      <c r="D160" s="1224"/>
      <c r="E160" s="1224"/>
      <c r="F160" s="1224"/>
      <c r="G160" s="1224"/>
      <c r="H160" s="1224"/>
      <c r="J160" s="1230" t="s">
        <v>160</v>
      </c>
      <c r="K160" s="1231"/>
      <c r="L160" s="1232"/>
    </row>
    <row r="161" spans="1:12" ht="16.2" thickBot="1" x14ac:dyDescent="0.3">
      <c r="A161" s="1219"/>
      <c r="B161" s="625"/>
      <c r="C161" s="1207" t="s">
        <v>111</v>
      </c>
      <c r="D161" s="1207"/>
      <c r="E161" s="1207" t="s">
        <v>191</v>
      </c>
      <c r="F161" s="1207"/>
      <c r="G161" s="1207" t="s">
        <v>192</v>
      </c>
      <c r="H161" s="1207"/>
      <c r="J161" s="1233"/>
      <c r="K161" s="1234"/>
      <c r="L161" s="1235"/>
    </row>
    <row r="162" spans="1:12" ht="47.4" thickBot="1" x14ac:dyDescent="0.3">
      <c r="A162" s="1219"/>
      <c r="B162" s="626" t="s">
        <v>193</v>
      </c>
      <c r="C162" s="625" t="s">
        <v>194</v>
      </c>
      <c r="D162" s="625" t="s">
        <v>116</v>
      </c>
      <c r="E162" s="625" t="s">
        <v>195</v>
      </c>
      <c r="F162" s="625" t="s">
        <v>118</v>
      </c>
      <c r="G162" s="625" t="s">
        <v>164</v>
      </c>
      <c r="H162" s="625" t="s">
        <v>120</v>
      </c>
      <c r="J162" s="1236" t="s">
        <v>121</v>
      </c>
      <c r="K162" s="1238" t="s">
        <v>165</v>
      </c>
      <c r="L162" s="1240" t="s">
        <v>166</v>
      </c>
    </row>
    <row r="163" spans="1:12" ht="15.6" x14ac:dyDescent="0.25">
      <c r="A163" s="1219"/>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37"/>
      <c r="K163" s="1239"/>
      <c r="L163" s="1241"/>
    </row>
    <row r="164" spans="1:12" ht="15.6" x14ac:dyDescent="0.25">
      <c r="A164" s="1219"/>
      <c r="B164" s="645" t="s">
        <v>197</v>
      </c>
      <c r="C164" s="648">
        <f>'G-2 Habitat groups'!E173</f>
        <v>0</v>
      </c>
      <c r="D164" s="648">
        <f>'G-2 Habitat groups'!F173</f>
        <v>0</v>
      </c>
      <c r="E164" s="648">
        <f>'G-2 Habitat groups'!O173</f>
        <v>0</v>
      </c>
      <c r="F164" s="648">
        <f>'G-2 Habitat groups'!P173</f>
        <v>0</v>
      </c>
      <c r="G164" s="648">
        <f t="shared" si="25"/>
        <v>0</v>
      </c>
      <c r="H164" s="648">
        <f t="shared" si="25"/>
        <v>0</v>
      </c>
      <c r="J164" s="1220" t="str">
        <f>'G-1 All Habitats'!$V$3</f>
        <v>V.High</v>
      </c>
      <c r="K164" s="1222">
        <f>SUMIF('C-1 On-Site WaterC'' Baseline'!$F$10:$F$257,'Detailed Results'!J164,'C-1 On-Site WaterC'' Baseline'!$X$10:$X$257)+SUMIF('F-1 Off-Site WaterC'' Baseline'!$F$10:$F$257,'Detailed Results'!J164,'F-1 Off-Site WaterC'' Baseline'!$AA$10:$AA$257)</f>
        <v>0</v>
      </c>
      <c r="L164" s="1227" t="str">
        <f>IF(K164=0,"",(K164/(SUM($K$164:$K$171)))*100)</f>
        <v/>
      </c>
    </row>
    <row r="165" spans="1:12" ht="15.6" x14ac:dyDescent="0.25">
      <c r="A165" s="1219"/>
      <c r="B165" s="645" t="s">
        <v>198</v>
      </c>
      <c r="C165" s="648">
        <f>'G-2 Habitat groups'!E174</f>
        <v>0</v>
      </c>
      <c r="D165" s="648">
        <f>'G-2 Habitat groups'!F174</f>
        <v>0</v>
      </c>
      <c r="E165" s="648">
        <f>'G-2 Habitat groups'!O174</f>
        <v>0</v>
      </c>
      <c r="F165" s="648">
        <f>'G-2 Habitat groups'!P174</f>
        <v>0</v>
      </c>
      <c r="G165" s="648">
        <f t="shared" si="25"/>
        <v>0</v>
      </c>
      <c r="H165" s="648">
        <f t="shared" si="25"/>
        <v>0</v>
      </c>
      <c r="J165" s="1221"/>
      <c r="K165" s="1223"/>
      <c r="L165" s="1228"/>
    </row>
    <row r="166" spans="1:12" ht="15.6" x14ac:dyDescent="0.25">
      <c r="A166" s="1219"/>
      <c r="B166" s="645" t="s">
        <v>199</v>
      </c>
      <c r="C166" s="648">
        <f>'G-2 Habitat groups'!E175</f>
        <v>0</v>
      </c>
      <c r="D166" s="648">
        <f>'G-2 Habitat groups'!F175</f>
        <v>0</v>
      </c>
      <c r="E166" s="648">
        <f>'G-2 Habitat groups'!O175</f>
        <v>0</v>
      </c>
      <c r="F166" s="648">
        <f>'G-2 Habitat groups'!P175</f>
        <v>0</v>
      </c>
      <c r="G166" s="648">
        <f t="shared" si="25"/>
        <v>0</v>
      </c>
      <c r="H166" s="648">
        <f t="shared" si="25"/>
        <v>0</v>
      </c>
      <c r="J166" s="1220" t="str">
        <f>'G-1 All Habitats'!$V$4</f>
        <v>High</v>
      </c>
      <c r="K166" s="1222">
        <f>SUMIF('C-1 On-Site WaterC'' Baseline'!$F$10:$F$257,'Detailed Results'!J166,'C-1 On-Site WaterC'' Baseline'!$X$10:$X$257)+SUMIF('F-1 Off-Site WaterC'' Baseline'!$F$10:$F$257,'Detailed Results'!J166,'F-1 Off-Site WaterC'' Baseline'!$AA$10:$AA$257)</f>
        <v>0</v>
      </c>
      <c r="L166" s="1227" t="str">
        <f>IF(K166=0,"",(K166/(SUM($K$164:$K$171)))*100)</f>
        <v/>
      </c>
    </row>
    <row r="167" spans="1:12" ht="15.6" x14ac:dyDescent="0.25">
      <c r="A167" s="1219"/>
      <c r="B167" s="645" t="s">
        <v>200</v>
      </c>
      <c r="C167" s="648">
        <f>'G-2 Habitat groups'!E176</f>
        <v>0</v>
      </c>
      <c r="D167" s="648">
        <f>'G-2 Habitat groups'!F176</f>
        <v>0</v>
      </c>
      <c r="E167" s="648">
        <f>'G-2 Habitat groups'!O176</f>
        <v>0</v>
      </c>
      <c r="F167" s="648">
        <f>'G-2 Habitat groups'!P176</f>
        <v>0</v>
      </c>
      <c r="G167" s="648">
        <f t="shared" si="25"/>
        <v>0</v>
      </c>
      <c r="H167" s="648">
        <f t="shared" si="25"/>
        <v>0</v>
      </c>
      <c r="J167" s="1221"/>
      <c r="K167" s="1223"/>
      <c r="L167" s="1228"/>
    </row>
    <row r="168" spans="1:12" x14ac:dyDescent="0.25">
      <c r="A168" s="1219"/>
      <c r="J168" s="1220" t="str">
        <f>'G-1 All Habitats'!$V$5</f>
        <v>Medium</v>
      </c>
      <c r="K168" s="1222">
        <f>SUMIF('C-1 On-Site WaterC'' Baseline'!$F$10:$F$257,'Detailed Results'!J168,'C-1 On-Site WaterC'' Baseline'!$X$10:$X$257)+SUMIF('F-1 Off-Site WaterC'' Baseline'!$F$10:$F$257,'Detailed Results'!J168,'F-1 Off-Site WaterC'' Baseline'!$AA$10:$AA$257)</f>
        <v>0</v>
      </c>
      <c r="L168" s="1227" t="str">
        <f>IF(K168=0,"",(K168/(SUM($K$164:$K$171)))*100)</f>
        <v/>
      </c>
    </row>
    <row r="169" spans="1:12" x14ac:dyDescent="0.25">
      <c r="A169" s="1219"/>
      <c r="J169" s="1221"/>
      <c r="K169" s="1223"/>
      <c r="L169" s="1228"/>
    </row>
    <row r="170" spans="1:12" x14ac:dyDescent="0.25">
      <c r="A170" s="1219"/>
      <c r="J170" s="1220" t="str">
        <f>'G-1 All Habitats'!$V$6</f>
        <v>Low</v>
      </c>
      <c r="K170" s="1222">
        <f>SUMIF('C-1 On-Site WaterC'' Baseline'!$F$10:$F$257,'Detailed Results'!J170,'C-1 On-Site WaterC'' Baseline'!$X$10:$X$257)+SUMIF('F-1 Off-Site WaterC'' Baseline'!$F$10:$F$257,'Detailed Results'!J170,'F-1 Off-Site WaterC'' Baseline'!$AA$10:$AA$257)</f>
        <v>0</v>
      </c>
      <c r="L170" s="1227" t="str">
        <f>IF(K170=0,"",(K170/(SUM($K$164:$K$171)))*100)</f>
        <v/>
      </c>
    </row>
    <row r="171" spans="1:12" ht="14.4" thickBot="1" x14ac:dyDescent="0.3">
      <c r="A171" s="1219"/>
      <c r="J171" s="1225"/>
      <c r="K171" s="1226"/>
      <c r="L171" s="1229"/>
    </row>
    <row r="172" spans="1:12" x14ac:dyDescent="0.25">
      <c r="A172" s="1219"/>
    </row>
    <row r="173" spans="1:12" x14ac:dyDescent="0.25">
      <c r="A173" s="1219"/>
    </row>
    <row r="174" spans="1:12" x14ac:dyDescent="0.25">
      <c r="A174" s="1219"/>
    </row>
    <row r="175" spans="1:12" x14ac:dyDescent="0.25">
      <c r="A175" s="1219"/>
    </row>
    <row r="176" spans="1:12" x14ac:dyDescent="0.25">
      <c r="A176" s="1219"/>
    </row>
    <row r="177" spans="1:8" x14ac:dyDescent="0.25">
      <c r="A177" s="1219"/>
    </row>
    <row r="178" spans="1:8" x14ac:dyDescent="0.25">
      <c r="A178" s="1219"/>
    </row>
    <row r="179" spans="1:8" ht="14.4" thickBot="1" x14ac:dyDescent="0.3">
      <c r="A179" s="1219"/>
    </row>
    <row r="180" spans="1:8" ht="18" thickBot="1" x14ac:dyDescent="0.35">
      <c r="A180" s="1219"/>
      <c r="B180" s="1224" t="s">
        <v>201</v>
      </c>
      <c r="C180" s="1224"/>
      <c r="D180" s="1224"/>
      <c r="E180" s="1224"/>
      <c r="F180" s="1224"/>
      <c r="G180" s="1224"/>
      <c r="H180" s="1224"/>
    </row>
    <row r="181" spans="1:8" ht="16.2" thickBot="1" x14ac:dyDescent="0.3">
      <c r="A181" s="1219"/>
      <c r="B181" s="625"/>
      <c r="C181" s="1207" t="s">
        <v>111</v>
      </c>
      <c r="D181" s="1207"/>
      <c r="E181" s="1207" t="s">
        <v>202</v>
      </c>
      <c r="F181" s="1207"/>
      <c r="G181" s="1207" t="s">
        <v>203</v>
      </c>
      <c r="H181" s="1207"/>
    </row>
    <row r="182" spans="1:8" ht="47.4" thickBot="1" x14ac:dyDescent="0.3">
      <c r="A182" s="1219"/>
      <c r="B182" s="626" t="s">
        <v>193</v>
      </c>
      <c r="C182" s="625" t="s">
        <v>181</v>
      </c>
      <c r="D182" s="625" t="s">
        <v>143</v>
      </c>
      <c r="E182" s="625" t="s">
        <v>204</v>
      </c>
      <c r="F182" s="625" t="s">
        <v>145</v>
      </c>
      <c r="G182" s="625" t="s">
        <v>183</v>
      </c>
      <c r="H182" s="625" t="s">
        <v>147</v>
      </c>
    </row>
    <row r="183" spans="1:8" ht="15.6" x14ac:dyDescent="0.25">
      <c r="A183" s="1219"/>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6" x14ac:dyDescent="0.25">
      <c r="A184" s="1219"/>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6" x14ac:dyDescent="0.25">
      <c r="A185" s="1219"/>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6" x14ac:dyDescent="0.25">
      <c r="A186" s="1219"/>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6" x14ac:dyDescent="0.25">
      <c r="A187" s="1219"/>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25">
      <c r="A188" s="1219"/>
      <c r="B188" s="633"/>
      <c r="C188" s="633"/>
      <c r="D188" s="633"/>
      <c r="E188" s="633"/>
      <c r="F188" s="633"/>
      <c r="G188" s="633"/>
      <c r="H188" s="633"/>
    </row>
    <row r="189" spans="1:8" x14ac:dyDescent="0.25">
      <c r="A189" s="1219"/>
      <c r="B189" s="633"/>
      <c r="C189" s="633"/>
      <c r="D189" s="633"/>
      <c r="E189" s="633"/>
      <c r="F189" s="633"/>
      <c r="G189" s="633"/>
      <c r="H189" s="633"/>
    </row>
    <row r="190" spans="1:8" x14ac:dyDescent="0.25">
      <c r="A190" s="1219"/>
      <c r="B190" s="633"/>
      <c r="C190" s="633"/>
      <c r="D190" s="633"/>
      <c r="E190" s="633"/>
      <c r="F190" s="633"/>
      <c r="G190" s="633"/>
      <c r="H190" s="633"/>
    </row>
    <row r="191" spans="1:8" x14ac:dyDescent="0.25">
      <c r="A191" s="1219"/>
      <c r="B191" s="633"/>
      <c r="C191" s="633"/>
      <c r="D191" s="633"/>
      <c r="E191" s="633"/>
      <c r="F191" s="633"/>
      <c r="G191" s="633"/>
      <c r="H191" s="633"/>
    </row>
    <row r="192" spans="1:8" x14ac:dyDescent="0.25">
      <c r="A192" s="1219"/>
      <c r="B192" s="633"/>
      <c r="C192" s="633"/>
      <c r="D192" s="633"/>
      <c r="E192" s="633"/>
      <c r="F192" s="633"/>
      <c r="G192" s="633"/>
      <c r="H192" s="633"/>
    </row>
    <row r="193" spans="1:8" x14ac:dyDescent="0.25">
      <c r="A193" s="1219"/>
      <c r="B193" s="633"/>
      <c r="C193" s="633"/>
      <c r="D193" s="633"/>
      <c r="E193" s="633"/>
      <c r="F193" s="633"/>
      <c r="G193" s="633"/>
      <c r="H193" s="633"/>
    </row>
    <row r="194" spans="1:8" x14ac:dyDescent="0.25">
      <c r="A194" s="1219"/>
      <c r="B194" s="633"/>
      <c r="C194" s="633"/>
      <c r="D194" s="633"/>
      <c r="E194" s="633"/>
      <c r="F194" s="633"/>
      <c r="G194" s="633"/>
      <c r="H194" s="633"/>
    </row>
    <row r="195" spans="1:8" x14ac:dyDescent="0.25">
      <c r="A195" s="1219"/>
      <c r="B195" s="633"/>
      <c r="C195" s="633"/>
      <c r="D195" s="633"/>
      <c r="E195" s="633"/>
      <c r="F195" s="633"/>
      <c r="G195" s="633"/>
      <c r="H195" s="633"/>
    </row>
    <row r="196" spans="1:8" x14ac:dyDescent="0.25">
      <c r="A196" s="1219"/>
      <c r="B196" s="633"/>
      <c r="C196" s="633"/>
    </row>
    <row r="197" spans="1:8" x14ac:dyDescent="0.25">
      <c r="A197" s="1219"/>
      <c r="B197" s="633"/>
      <c r="C197" s="633"/>
    </row>
    <row r="198" spans="1:8" x14ac:dyDescent="0.25">
      <c r="A198" s="1219"/>
      <c r="B198" s="633"/>
      <c r="C198" s="633"/>
    </row>
    <row r="199" spans="1:8" ht="14.4" thickBot="1" x14ac:dyDescent="0.3">
      <c r="A199" s="1219"/>
      <c r="B199" s="633"/>
      <c r="C199" s="633"/>
    </row>
    <row r="200" spans="1:8" ht="18" thickBot="1" x14ac:dyDescent="0.35">
      <c r="A200" s="1219"/>
      <c r="B200" s="1224" t="s">
        <v>205</v>
      </c>
      <c r="C200" s="1224"/>
      <c r="D200" s="1224"/>
      <c r="E200" s="1224"/>
      <c r="F200" s="1224"/>
      <c r="G200" s="1224"/>
      <c r="H200" s="1224"/>
    </row>
    <row r="201" spans="1:8" ht="16.2" thickBot="1" x14ac:dyDescent="0.3">
      <c r="A201" s="1219"/>
      <c r="B201" s="625"/>
      <c r="C201" s="1207" t="s">
        <v>111</v>
      </c>
      <c r="D201" s="1207"/>
      <c r="E201" s="1207" t="s">
        <v>112</v>
      </c>
      <c r="F201" s="1207"/>
      <c r="G201" s="1207" t="s">
        <v>113</v>
      </c>
      <c r="H201" s="1207"/>
    </row>
    <row r="202" spans="1:8" ht="47.4" thickBot="1" x14ac:dyDescent="0.3">
      <c r="A202" s="1219"/>
      <c r="B202" s="626" t="s">
        <v>193</v>
      </c>
      <c r="C202" s="625" t="s">
        <v>206</v>
      </c>
      <c r="D202" s="625" t="s">
        <v>152</v>
      </c>
      <c r="E202" s="625" t="s">
        <v>187</v>
      </c>
      <c r="F202" s="625" t="s">
        <v>154</v>
      </c>
      <c r="G202" s="625" t="s">
        <v>188</v>
      </c>
      <c r="H202" s="625" t="s">
        <v>156</v>
      </c>
    </row>
    <row r="203" spans="1:8" ht="15.6" x14ac:dyDescent="0.25">
      <c r="A203" s="1219"/>
      <c r="B203" s="644" t="s">
        <v>196</v>
      </c>
      <c r="C203" s="648">
        <f t="shared" ref="C203:H204" si="27">C163+C183</f>
        <v>0</v>
      </c>
      <c r="D203" s="648">
        <f t="shared" si="27"/>
        <v>0</v>
      </c>
      <c r="E203" s="648">
        <f t="shared" si="27"/>
        <v>0</v>
      </c>
      <c r="F203" s="648">
        <f t="shared" si="27"/>
        <v>0</v>
      </c>
      <c r="G203" s="648">
        <f t="shared" si="27"/>
        <v>0</v>
      </c>
      <c r="H203" s="648">
        <f t="shared" si="27"/>
        <v>0</v>
      </c>
    </row>
    <row r="204" spans="1:8" ht="15.6" x14ac:dyDescent="0.25">
      <c r="A204" s="1219"/>
      <c r="B204" s="645" t="s">
        <v>197</v>
      </c>
      <c r="C204" s="648">
        <f t="shared" si="27"/>
        <v>0</v>
      </c>
      <c r="D204" s="648">
        <f t="shared" si="27"/>
        <v>0</v>
      </c>
      <c r="E204" s="648">
        <f t="shared" si="27"/>
        <v>0</v>
      </c>
      <c r="F204" s="648">
        <f t="shared" si="27"/>
        <v>0</v>
      </c>
      <c r="G204" s="648">
        <f t="shared" si="27"/>
        <v>0</v>
      </c>
      <c r="H204" s="648">
        <f t="shared" si="27"/>
        <v>0</v>
      </c>
    </row>
    <row r="205" spans="1:8" ht="15.6" x14ac:dyDescent="0.25">
      <c r="A205" s="1219"/>
      <c r="B205" s="645" t="s">
        <v>198</v>
      </c>
      <c r="C205" s="648">
        <f t="shared" ref="C205:H205" si="28">C165+C185</f>
        <v>0</v>
      </c>
      <c r="D205" s="648">
        <f t="shared" si="28"/>
        <v>0</v>
      </c>
      <c r="E205" s="648">
        <f t="shared" si="28"/>
        <v>0</v>
      </c>
      <c r="F205" s="648">
        <f t="shared" si="28"/>
        <v>0</v>
      </c>
      <c r="G205" s="648">
        <f t="shared" si="28"/>
        <v>0</v>
      </c>
      <c r="H205" s="648">
        <f t="shared" si="28"/>
        <v>0</v>
      </c>
    </row>
    <row r="206" spans="1:8" ht="15.6" x14ac:dyDescent="0.25">
      <c r="A206" s="1219"/>
      <c r="B206" s="645" t="s">
        <v>199</v>
      </c>
      <c r="C206" s="648">
        <f t="shared" ref="C206:H206" si="29">C166+C186</f>
        <v>0</v>
      </c>
      <c r="D206" s="648">
        <f t="shared" si="29"/>
        <v>0</v>
      </c>
      <c r="E206" s="648">
        <f t="shared" si="29"/>
        <v>0</v>
      </c>
      <c r="F206" s="648">
        <f t="shared" si="29"/>
        <v>0</v>
      </c>
      <c r="G206" s="648">
        <f t="shared" si="29"/>
        <v>0</v>
      </c>
      <c r="H206" s="648">
        <f t="shared" si="29"/>
        <v>0</v>
      </c>
    </row>
    <row r="207" spans="1:8" ht="15.6" x14ac:dyDescent="0.25">
      <c r="A207" s="1219"/>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25">
      <c r="A208" s="1219"/>
      <c r="B208" s="633"/>
      <c r="C208" s="633"/>
      <c r="D208" s="633"/>
      <c r="E208" s="633"/>
      <c r="F208" s="633"/>
      <c r="G208" s="633"/>
      <c r="H208" s="633"/>
    </row>
    <row r="209" spans="1:8" x14ac:dyDescent="0.25">
      <c r="A209" s="1219"/>
      <c r="B209" s="633"/>
      <c r="C209" s="633"/>
      <c r="D209" s="633"/>
      <c r="E209" s="633"/>
      <c r="F209" s="633"/>
      <c r="G209" s="633"/>
      <c r="H209" s="633"/>
    </row>
    <row r="210" spans="1:8" x14ac:dyDescent="0.25">
      <c r="A210" s="1219"/>
      <c r="B210" s="633"/>
      <c r="C210" s="633"/>
      <c r="D210" s="633"/>
      <c r="E210" s="633"/>
      <c r="F210" s="633"/>
      <c r="G210" s="633"/>
      <c r="H210" s="633"/>
    </row>
    <row r="211" spans="1:8" x14ac:dyDescent="0.25">
      <c r="A211" s="1219"/>
      <c r="B211" s="633"/>
      <c r="C211" s="633"/>
      <c r="D211" s="633"/>
      <c r="E211" s="633"/>
      <c r="F211" s="633"/>
      <c r="G211" s="633"/>
      <c r="H211" s="633"/>
    </row>
    <row r="212" spans="1:8" x14ac:dyDescent="0.25">
      <c r="B212" s="633"/>
      <c r="C212" s="633"/>
      <c r="D212" s="633"/>
      <c r="E212" s="633"/>
      <c r="F212" s="633"/>
      <c r="G212" s="633"/>
      <c r="H212" s="633"/>
    </row>
    <row r="213" spans="1:8" x14ac:dyDescent="0.25">
      <c r="B213" s="633"/>
      <c r="C213" s="633"/>
      <c r="D213" s="633"/>
      <c r="E213" s="633"/>
      <c r="F213" s="633"/>
      <c r="G213" s="633"/>
      <c r="H213" s="633"/>
    </row>
    <row r="214" spans="1:8" x14ac:dyDescent="0.25">
      <c r="B214" s="633"/>
      <c r="C214" s="633"/>
      <c r="D214" s="633"/>
      <c r="E214" s="633"/>
      <c r="F214" s="633"/>
      <c r="G214" s="633"/>
      <c r="H214" s="633"/>
    </row>
    <row r="215" spans="1:8" x14ac:dyDescent="0.25">
      <c r="B215" s="633"/>
      <c r="C215" s="633"/>
      <c r="D215" s="633"/>
      <c r="E215" s="633"/>
      <c r="F215" s="633"/>
      <c r="G215" s="633"/>
      <c r="H215" s="633"/>
    </row>
  </sheetData>
  <sheetProtection algorithmName="SHA-512" hashValue="penoztb2LxuHf7imCzHBkyRdplpBKq0sodknK/70P8Kbj9EA8rwLtsZXd2Z9yK58qIp2vJmZvIEvyAq4lwrDIg==" saltValue="WdEYaujs864pkl7jCucWRg=="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s>
  <conditionalFormatting sqref="D21:D22">
    <cfRule type="cellIs" dxfId="627" priority="45" operator="equal">
      <formula>"Error ▲"</formula>
    </cfRule>
  </conditionalFormatting>
  <conditionalFormatting sqref="D24:D25">
    <cfRule type="cellIs" dxfId="626" priority="44" operator="equal">
      <formula>"Error ▲"</formula>
    </cfRule>
  </conditionalFormatting>
  <conditionalFormatting sqref="D27:D28">
    <cfRule type="cellIs" dxfId="625" priority="43" operator="equal">
      <formula>"Error ▲"</formula>
    </cfRule>
  </conditionalFormatting>
  <conditionalFormatting sqref="D30:D31">
    <cfRule type="cellIs" dxfId="624" priority="22" operator="equal">
      <formula>"Error ▲"</formula>
    </cfRule>
  </conditionalFormatting>
  <conditionalFormatting sqref="H14">
    <cfRule type="expression" dxfId="623" priority="355">
      <formula>AND($D$21&gt;0,$H$14&lt;0.1)</formula>
    </cfRule>
  </conditionalFormatting>
  <conditionalFormatting sqref="H15">
    <cfRule type="expression" dxfId="621" priority="354">
      <formula>AND($F$21&gt;0,$H$15&lt;0.1)</formula>
    </cfRule>
  </conditionalFormatting>
  <conditionalFormatting sqref="H10:I10">
    <cfRule type="cellIs" dxfId="620" priority="353" operator="equal">
      <formula>"Error"</formula>
    </cfRule>
  </conditionalFormatting>
  <conditionalFormatting sqref="H10:I12 H14:I16">
    <cfRule type="containsText" dxfId="619" priority="10" operator="containsText" text="Check">
      <formula>NOT(ISERROR(SEARCH("Check",H10)))</formula>
    </cfRule>
  </conditionalFormatting>
  <conditionalFormatting sqref="H14:I16">
    <cfRule type="containsText" dxfId="618" priority="1" operator="containsText" text="N/A">
      <formula>NOT(ISERROR(SEARCH("N/A",H14)))</formula>
    </cfRule>
    <cfRule type="cellIs" dxfId="617" priority="348" operator="equal">
      <formula>"Error"</formula>
    </cfRule>
  </conditionalFormatting>
  <conditionalFormatting sqref="H15:I15">
    <cfRule type="expression" dxfId="616" priority="336">
      <formula>AND($F$21&gt;0,$H$16&lt;0.1)</formula>
    </cfRule>
  </conditionalFormatting>
  <conditionalFormatting sqref="H16:I16">
    <cfRule type="expression" dxfId="615" priority="3">
      <formula>AND($H$21&gt;0,$H$16&lt;0.1)</formula>
    </cfRule>
  </conditionalFormatting>
  <conditionalFormatting sqref="K40 K42 K44 K46 K48">
    <cfRule type="cellIs" dxfId="614" priority="91" operator="greaterThan">
      <formula>0</formula>
    </cfRule>
  </conditionalFormatting>
  <conditionalFormatting sqref="K101">
    <cfRule type="cellIs" dxfId="613" priority="4" operator="greaterThan">
      <formula>0</formula>
    </cfRule>
  </conditionalFormatting>
  <conditionalFormatting sqref="K103 K105 K107 K109">
    <cfRule type="cellIs" dxfId="612" priority="7" operator="greaterThan">
      <formula>0</formula>
    </cfRule>
  </conditionalFormatting>
  <conditionalFormatting sqref="K164">
    <cfRule type="cellIs" dxfId="611" priority="6" operator="greaterThan">
      <formula>0</formula>
    </cfRule>
  </conditionalFormatting>
  <conditionalFormatting sqref="K166 K168 K170">
    <cfRule type="cellIs" dxfId="610" priority="5"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3"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zoomScale="80" zoomScaleNormal="80" workbookViewId="0"/>
  </sheetViews>
  <sheetFormatPr defaultColWidth="0" defaultRowHeight="13.8" zeroHeight="1" x14ac:dyDescent="0.25"/>
  <cols>
    <col min="1" max="1" width="17" style="30" customWidth="1"/>
    <col min="2" max="2" width="104.77734375" style="30" bestFit="1" customWidth="1"/>
    <col min="3" max="3" width="24.44140625" style="30" bestFit="1" customWidth="1"/>
    <col min="4" max="4" width="10.5546875" style="30" bestFit="1" customWidth="1"/>
    <col min="5" max="5" width="10.21875" style="30" bestFit="1" customWidth="1"/>
    <col min="6" max="6" width="18.21875" style="30" customWidth="1"/>
    <col min="7" max="7" width="31" style="30" customWidth="1"/>
    <col min="8" max="8" width="5" style="30" customWidth="1"/>
    <col min="9" max="9" width="49.44140625" style="30" customWidth="1"/>
    <col min="10" max="10" width="10.77734375" style="30" customWidth="1"/>
    <col min="11" max="11" width="2" style="30" customWidth="1"/>
    <col min="12" max="12" width="2.5546875" style="30" customWidth="1"/>
    <col min="13" max="13" width="4.21875" style="30" customWidth="1"/>
    <col min="14" max="16" width="9.21875" style="30" customWidth="1"/>
    <col min="17" max="17" width="10.5546875" style="30" customWidth="1"/>
    <col min="18" max="20" width="9.21875" style="30" customWidth="1"/>
    <col min="21" max="22" width="0" style="30" hidden="1" customWidth="1"/>
    <col min="23" max="16384" width="9.218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299" t="s">
        <v>207</v>
      </c>
      <c r="C2" s="1300"/>
      <c r="D2" s="1300"/>
      <c r="E2" s="1300"/>
      <c r="F2" s="1300"/>
      <c r="G2" s="1301"/>
      <c r="H2" s="32"/>
      <c r="I2" s="32"/>
      <c r="J2" s="32"/>
      <c r="K2" s="32"/>
      <c r="L2" s="32"/>
      <c r="M2" s="32"/>
      <c r="N2" s="32"/>
      <c r="O2" s="32"/>
      <c r="P2" s="32"/>
      <c r="Q2" s="32"/>
    </row>
    <row r="3" spans="1:17" ht="15" customHeight="1" x14ac:dyDescent="0.25">
      <c r="A3" s="32"/>
      <c r="B3" s="1315" t="s">
        <v>208</v>
      </c>
      <c r="C3" s="1317" t="s">
        <v>209</v>
      </c>
      <c r="D3" s="1317"/>
      <c r="E3" s="1317"/>
      <c r="F3" s="1317"/>
      <c r="G3" s="1313" t="s">
        <v>210</v>
      </c>
      <c r="H3" s="219"/>
      <c r="I3" s="219"/>
      <c r="J3" s="219"/>
      <c r="K3" s="219"/>
      <c r="L3" s="32"/>
      <c r="M3" s="32"/>
      <c r="N3" s="32"/>
      <c r="O3" s="32"/>
      <c r="P3" s="32"/>
      <c r="Q3" s="32"/>
    </row>
    <row r="4" spans="1:17" ht="14.25" customHeight="1" x14ac:dyDescent="0.25">
      <c r="A4" s="32"/>
      <c r="B4" s="1316"/>
      <c r="C4" s="1318"/>
      <c r="D4" s="1318"/>
      <c r="E4" s="1318"/>
      <c r="F4" s="1318"/>
      <c r="G4" s="1314"/>
      <c r="H4" s="219"/>
      <c r="I4" s="219"/>
      <c r="J4" s="219"/>
      <c r="K4" s="219"/>
      <c r="L4" s="32"/>
      <c r="M4" s="32"/>
      <c r="N4" s="32"/>
      <c r="O4" s="32"/>
      <c r="P4" s="32"/>
      <c r="Q4" s="32"/>
    </row>
    <row r="5" spans="1:17" ht="20.399999999999999" x14ac:dyDescent="0.25">
      <c r="A5" s="32"/>
      <c r="B5" s="99" t="s">
        <v>211</v>
      </c>
      <c r="C5" s="1319" t="s">
        <v>212</v>
      </c>
      <c r="D5" s="1320"/>
      <c r="E5" s="1320"/>
      <c r="F5" s="1321"/>
      <c r="G5" s="545" t="str">
        <f>IF(('A-1 On-Site Habitat Baseline'!AQ259+'D-1 Off-Site Habitat Baseline'!AU259)&gt;0,"No ▲","Yes ✓")</f>
        <v>Yes ✓</v>
      </c>
      <c r="H5" s="219"/>
      <c r="I5" s="219"/>
      <c r="J5" s="219"/>
      <c r="K5" s="219"/>
      <c r="L5" s="32"/>
      <c r="M5" s="32"/>
      <c r="N5" s="32"/>
      <c r="O5" s="32"/>
      <c r="P5" s="32"/>
      <c r="Q5" s="32"/>
    </row>
    <row r="6" spans="1:17" ht="22.5" customHeight="1" x14ac:dyDescent="0.25">
      <c r="A6" s="32"/>
      <c r="B6" s="99" t="s">
        <v>213</v>
      </c>
      <c r="C6" s="1322" t="s">
        <v>214</v>
      </c>
      <c r="D6" s="1322"/>
      <c r="E6" s="1322"/>
      <c r="F6" s="1322"/>
      <c r="G6" s="545" t="str">
        <f>IFERROR(IF(J41&lt;0,"No ▲","Yes ✓"),"")</f>
        <v>No ▲</v>
      </c>
      <c r="H6" s="32"/>
      <c r="I6" s="32"/>
      <c r="J6" s="32"/>
      <c r="K6" s="32"/>
      <c r="L6" s="32"/>
      <c r="M6" s="32"/>
      <c r="N6" s="32"/>
      <c r="O6" s="32"/>
      <c r="P6" s="32"/>
      <c r="Q6" s="32"/>
    </row>
    <row r="7" spans="1:17" ht="19.5" customHeight="1" x14ac:dyDescent="0.25">
      <c r="A7" s="32"/>
      <c r="B7" s="99" t="s">
        <v>70</v>
      </c>
      <c r="C7" s="1323" t="s">
        <v>215</v>
      </c>
      <c r="D7" s="1323"/>
      <c r="E7" s="1323"/>
      <c r="F7" s="1323"/>
      <c r="G7" s="546" t="str">
        <f>IF(J40+J12+J89&lt;0,"No ▲","Yes ✓")</f>
        <v>No ▲</v>
      </c>
      <c r="H7" s="32"/>
      <c r="I7" s="32"/>
      <c r="J7" s="32"/>
      <c r="K7" s="32"/>
      <c r="L7" s="32"/>
      <c r="M7" s="32"/>
      <c r="N7" s="32"/>
      <c r="O7" s="32"/>
      <c r="P7" s="32"/>
      <c r="Q7" s="32"/>
    </row>
    <row r="8" spans="1:17" ht="18.75" customHeight="1" thickBot="1" x14ac:dyDescent="0.3">
      <c r="A8" s="32"/>
      <c r="B8" s="74" t="s">
        <v>216</v>
      </c>
      <c r="C8" s="1324" t="s">
        <v>217</v>
      </c>
      <c r="D8" s="1324"/>
      <c r="E8" s="1324"/>
      <c r="F8" s="1324"/>
      <c r="G8" s="547" t="str">
        <f>IF(J126&lt;0,"No ▲","Yes ✓")</f>
        <v>Yes ✓</v>
      </c>
      <c r="H8" s="32"/>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25.8" thickBot="1" x14ac:dyDescent="0.3">
      <c r="A11" s="32"/>
      <c r="B11" s="1299" t="s">
        <v>218</v>
      </c>
      <c r="C11" s="1300"/>
      <c r="D11" s="1300"/>
      <c r="E11" s="1300"/>
      <c r="F11" s="1300"/>
      <c r="G11" s="1301"/>
      <c r="H11" s="32"/>
      <c r="I11" s="1304" t="s">
        <v>219</v>
      </c>
      <c r="J11" s="1305"/>
      <c r="K11" s="32"/>
      <c r="L11" s="32"/>
      <c r="M11" s="32"/>
      <c r="N11" s="32"/>
      <c r="O11" s="32"/>
      <c r="P11" s="32"/>
      <c r="Q11" s="32"/>
    </row>
    <row r="12" spans="1:17" s="33" customFormat="1" ht="47.4" thickBot="1" x14ac:dyDescent="0.3">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25">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12" t="str">
        <f>IF($G$33&lt;0,"Very high distinctiveness unit defecit - CHECK DATA","")</f>
        <v/>
      </c>
      <c r="J13" s="1312"/>
      <c r="K13" s="32"/>
      <c r="L13" s="32"/>
      <c r="M13" s="32"/>
      <c r="N13" s="32"/>
      <c r="O13" s="32"/>
      <c r="P13" s="32"/>
      <c r="Q13" s="32"/>
    </row>
    <row r="14" spans="1:17" x14ac:dyDescent="0.25">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25">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25">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25">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25">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25">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25">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25">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25">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25">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25">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25">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25">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25">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25">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25">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00000000000001" customHeight="1" x14ac:dyDescent="0.25">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25">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4" thickBot="1" x14ac:dyDescent="0.3">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4" thickBot="1" x14ac:dyDescent="0.3">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25">
      <c r="A34" s="32"/>
      <c r="B34" s="32"/>
      <c r="C34" s="32"/>
      <c r="D34" s="32"/>
      <c r="E34" s="32"/>
      <c r="F34" s="32"/>
      <c r="G34" s="32"/>
      <c r="H34" s="32"/>
      <c r="I34" s="32"/>
      <c r="J34" s="32"/>
      <c r="K34" s="32"/>
      <c r="L34" s="32"/>
      <c r="M34" s="32"/>
      <c r="N34" s="32"/>
      <c r="O34" s="32"/>
      <c r="P34" s="32"/>
      <c r="Q34" s="32"/>
    </row>
    <row r="35" spans="1:17" x14ac:dyDescent="0.25">
      <c r="A35" s="32"/>
      <c r="B35" s="32"/>
      <c r="C35" s="32"/>
      <c r="D35" s="32"/>
      <c r="E35" s="32"/>
      <c r="F35" s="32"/>
      <c r="G35" s="32"/>
      <c r="H35" s="32"/>
      <c r="I35" s="32"/>
      <c r="J35" s="32"/>
      <c r="K35" s="32"/>
      <c r="L35" s="32"/>
      <c r="M35" s="32"/>
      <c r="N35" s="32"/>
      <c r="O35" s="32"/>
      <c r="P35" s="32"/>
      <c r="Q35" s="32"/>
    </row>
    <row r="36" spans="1:17" x14ac:dyDescent="0.25">
      <c r="A36" s="32"/>
      <c r="B36" s="32"/>
      <c r="C36" s="32"/>
      <c r="D36" s="32"/>
      <c r="E36" s="32"/>
      <c r="F36" s="32"/>
      <c r="G36" s="32"/>
      <c r="H36" s="32"/>
      <c r="I36" s="32"/>
      <c r="J36" s="32"/>
      <c r="K36" s="32"/>
      <c r="L36" s="32"/>
      <c r="M36" s="32"/>
      <c r="N36" s="32"/>
      <c r="O36" s="32"/>
      <c r="P36" s="32"/>
      <c r="Q36" s="32"/>
    </row>
    <row r="37" spans="1:17" x14ac:dyDescent="0.25">
      <c r="A37" s="32"/>
      <c r="B37" s="32"/>
      <c r="C37" s="32"/>
      <c r="D37" s="32"/>
      <c r="E37" s="32"/>
      <c r="F37" s="32"/>
      <c r="G37" s="32"/>
      <c r="H37" s="32"/>
      <c r="I37" s="32"/>
      <c r="J37" s="32"/>
      <c r="K37" s="32"/>
      <c r="L37" s="32"/>
      <c r="M37" s="32"/>
      <c r="N37" s="32"/>
      <c r="O37" s="32"/>
      <c r="P37" s="32"/>
      <c r="Q37" s="32"/>
    </row>
    <row r="38" spans="1:17" ht="14.4" thickBot="1" x14ac:dyDescent="0.3">
      <c r="A38" s="32"/>
      <c r="B38" s="32"/>
      <c r="C38" s="32"/>
      <c r="D38" s="32"/>
      <c r="E38" s="32"/>
      <c r="F38" s="32"/>
      <c r="G38" s="32"/>
      <c r="H38" s="32"/>
      <c r="I38" s="32"/>
      <c r="J38" s="32"/>
      <c r="K38" s="32"/>
      <c r="L38" s="32"/>
      <c r="M38" s="32"/>
      <c r="N38" s="32"/>
      <c r="O38" s="32"/>
      <c r="P38" s="32"/>
      <c r="Q38" s="32"/>
    </row>
    <row r="39" spans="1:17" ht="25.8" thickBot="1" x14ac:dyDescent="0.3">
      <c r="A39" s="32"/>
      <c r="B39" s="1325" t="s">
        <v>225</v>
      </c>
      <c r="C39" s="1326"/>
      <c r="D39" s="1326"/>
      <c r="E39" s="1326"/>
      <c r="F39" s="1326"/>
      <c r="G39" s="1327"/>
      <c r="H39" s="32"/>
      <c r="I39" s="1304" t="s">
        <v>226</v>
      </c>
      <c r="J39" s="1305"/>
      <c r="K39" s="32"/>
      <c r="L39" s="32"/>
      <c r="M39" s="32"/>
    </row>
    <row r="40" spans="1:17" ht="46.8" x14ac:dyDescent="0.25">
      <c r="A40" s="32"/>
      <c r="B40" s="754" t="s">
        <v>114</v>
      </c>
      <c r="C40" s="715" t="s">
        <v>220</v>
      </c>
      <c r="D40" s="715" t="s">
        <v>221</v>
      </c>
      <c r="E40" s="715" t="s">
        <v>147</v>
      </c>
      <c r="F40" s="715" t="s">
        <v>222</v>
      </c>
      <c r="G40" s="755" t="s">
        <v>227</v>
      </c>
      <c r="H40" s="32"/>
      <c r="I40" s="73" t="s">
        <v>228</v>
      </c>
      <c r="J40" s="350">
        <f>SUMIF($F$41:$F$81,"&gt;0")</f>
        <v>0</v>
      </c>
      <c r="K40" s="32"/>
      <c r="L40" s="32"/>
      <c r="M40" s="32"/>
      <c r="N40" s="32"/>
      <c r="O40" s="32"/>
    </row>
    <row r="41" spans="1:17" ht="14.4" thickBot="1" x14ac:dyDescent="0.3">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-4.7619000000000007</v>
      </c>
      <c r="K41" s="32"/>
      <c r="L41" s="32"/>
      <c r="M41" s="32"/>
      <c r="N41" s="32"/>
      <c r="O41" s="32"/>
    </row>
    <row r="42" spans="1:17" x14ac:dyDescent="0.25">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25">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25">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25">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25">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25">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25">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25">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25">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25">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25">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25">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25">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25">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25">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25">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25">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25">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25">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25">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25">
      <c r="A62" s="32"/>
      <c r="B62" s="271" t="str">
        <f>'G-2 Habitat groups'!AU52</f>
        <v>Woodland and forest - Felled</v>
      </c>
      <c r="C62" s="272" t="str">
        <f>'G-2 Habitat groups'!AV52</f>
        <v>Woodland and forest</v>
      </c>
      <c r="D62" s="346">
        <f>'G-2 Habitat groups'!BB52</f>
        <v>-4.7619000000000007</v>
      </c>
      <c r="E62" s="346">
        <f>'G-2 Habitat groups'!BD52</f>
        <v>0</v>
      </c>
      <c r="F62" s="346">
        <f>'G-2 Habitat groups'!BE52</f>
        <v>-4.7619000000000007</v>
      </c>
      <c r="G62" s="347">
        <f>'G-2 Habitat groups'!BF52</f>
        <v>-4.7619000000000007</v>
      </c>
      <c r="H62" s="32"/>
      <c r="K62" s="32"/>
      <c r="L62" s="32"/>
      <c r="M62" s="32"/>
      <c r="N62" s="32"/>
      <c r="O62" s="32"/>
    </row>
    <row r="63" spans="1:15" x14ac:dyDescent="0.25">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25">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25">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25">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25">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25">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55" customHeight="1" x14ac:dyDescent="0.25">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25">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25">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25">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25">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25">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25">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25">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25">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25">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25">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25">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25">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4" thickBot="1" x14ac:dyDescent="0.3">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4" thickBot="1" x14ac:dyDescent="0.3">
      <c r="A83" s="32"/>
      <c r="B83" s="32"/>
      <c r="C83" s="32"/>
      <c r="D83" s="609">
        <f>SUM(D41:D81)</f>
        <v>-4.7619000000000007</v>
      </c>
      <c r="E83" s="610">
        <f>SUM(E41:E81)</f>
        <v>0</v>
      </c>
      <c r="F83" s="344">
        <f>SUM(F41:F81)</f>
        <v>-4.7619000000000007</v>
      </c>
      <c r="G83" s="714">
        <f>SUM(G41:G81)</f>
        <v>-4.7619000000000007</v>
      </c>
      <c r="H83" s="32"/>
      <c r="I83" s="32"/>
      <c r="J83" s="32"/>
      <c r="K83" s="32"/>
      <c r="L83" s="32"/>
      <c r="M83" s="32"/>
      <c r="N83" s="32"/>
      <c r="O83" s="32"/>
      <c r="P83" s="32"/>
      <c r="Q83" s="32"/>
    </row>
    <row r="84" spans="1:17" x14ac:dyDescent="0.25">
      <c r="A84" s="32"/>
      <c r="B84" s="32"/>
      <c r="C84" s="32"/>
      <c r="D84" s="32"/>
      <c r="E84" s="32"/>
      <c r="F84" s="32"/>
      <c r="G84" s="32"/>
      <c r="H84" s="32"/>
      <c r="I84" s="32"/>
      <c r="J84" s="32"/>
      <c r="K84" s="32"/>
      <c r="L84" s="32"/>
      <c r="M84" s="32"/>
      <c r="N84" s="32"/>
      <c r="O84" s="32"/>
      <c r="P84" s="32"/>
      <c r="Q84" s="32"/>
    </row>
    <row r="85" spans="1:17" x14ac:dyDescent="0.25">
      <c r="A85" s="32"/>
      <c r="B85" s="32"/>
      <c r="C85" s="32"/>
      <c r="D85" s="32"/>
      <c r="E85" s="32"/>
      <c r="F85" s="32"/>
      <c r="G85" s="32"/>
      <c r="H85" s="32"/>
      <c r="I85" s="32"/>
      <c r="J85" s="32"/>
      <c r="K85" s="32"/>
      <c r="L85" s="32"/>
      <c r="M85" s="32"/>
      <c r="N85" s="32"/>
      <c r="O85" s="32"/>
      <c r="P85" s="32"/>
      <c r="Q85" s="32"/>
    </row>
    <row r="86" spans="1:17" ht="14.4" thickBot="1" x14ac:dyDescent="0.3">
      <c r="A86" s="32"/>
      <c r="B86" s="32"/>
      <c r="C86" s="32"/>
      <c r="D86" s="32"/>
      <c r="E86" s="32"/>
      <c r="F86" s="32"/>
      <c r="G86" s="32"/>
      <c r="H86" s="32"/>
      <c r="I86" s="32"/>
      <c r="J86" s="32"/>
      <c r="K86" s="32"/>
      <c r="L86" s="32"/>
      <c r="M86" s="32"/>
      <c r="N86" s="32"/>
      <c r="O86" s="32"/>
      <c r="P86" s="32"/>
      <c r="Q86" s="32"/>
    </row>
    <row r="87" spans="1:17" ht="28.2" thickBot="1" x14ac:dyDescent="0.45">
      <c r="A87" s="32"/>
      <c r="B87" s="1309" t="s">
        <v>231</v>
      </c>
      <c r="C87" s="1310"/>
      <c r="D87" s="1310"/>
      <c r="E87" s="1310"/>
      <c r="F87" s="1310"/>
      <c r="G87" s="1311"/>
      <c r="H87" s="32"/>
      <c r="I87" s="1302" t="s">
        <v>232</v>
      </c>
      <c r="J87" s="1303"/>
      <c r="K87" s="32"/>
      <c r="L87" s="32"/>
      <c r="M87" s="32"/>
      <c r="N87" s="32"/>
      <c r="O87" s="32"/>
    </row>
    <row r="88" spans="1:17" ht="47.4" thickBot="1" x14ac:dyDescent="0.3">
      <c r="A88" s="32"/>
      <c r="B88" s="275" t="s">
        <v>114</v>
      </c>
      <c r="C88" s="276" t="s">
        <v>220</v>
      </c>
      <c r="D88" s="276" t="s">
        <v>120</v>
      </c>
      <c r="E88" s="276" t="s">
        <v>147</v>
      </c>
      <c r="F88" s="276" t="s">
        <v>233</v>
      </c>
      <c r="G88" s="277" t="s">
        <v>234</v>
      </c>
      <c r="H88" s="32"/>
      <c r="I88" s="73" t="s">
        <v>248</v>
      </c>
      <c r="J88" s="352">
        <f>SUMIF(G89:G115,"&gt;0")</f>
        <v>1.5440000000000001E-2</v>
      </c>
      <c r="K88" s="32"/>
      <c r="L88" s="32"/>
    </row>
    <row r="89" spans="1:17" ht="27.6" x14ac:dyDescent="0.25">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06">
        <f>SUM(F89:F92)</f>
        <v>0</v>
      </c>
      <c r="H89" s="32"/>
      <c r="I89" s="99" t="s">
        <v>235</v>
      </c>
      <c r="J89" s="353">
        <f>SUMIF(G89:G115,"&lt;0")</f>
        <v>-0.34359321639624008</v>
      </c>
      <c r="K89" s="32"/>
      <c r="L89" s="32"/>
    </row>
    <row r="90" spans="1:17" ht="27.6" x14ac:dyDescent="0.25">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07"/>
      <c r="H90" s="32"/>
      <c r="I90" s="99" t="s">
        <v>1680</v>
      </c>
      <c r="J90" s="353">
        <f>J40+J12+J89</f>
        <v>-0.34359321639624008</v>
      </c>
    </row>
    <row r="91" spans="1:17" ht="14.4" thickBot="1" x14ac:dyDescent="0.3">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07"/>
      <c r="H91" s="32"/>
      <c r="I91" s="74" t="s">
        <v>236</v>
      </c>
      <c r="J91" s="351">
        <f>J90+J88</f>
        <v>-0.32815321639624007</v>
      </c>
      <c r="K91" s="32"/>
      <c r="L91" s="32"/>
    </row>
    <row r="92" spans="1:17" ht="14.4" thickBot="1" x14ac:dyDescent="0.3">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07"/>
      <c r="H92" s="32"/>
      <c r="I92" s="32"/>
      <c r="J92" s="32"/>
      <c r="K92" s="32"/>
      <c r="L92" s="32"/>
    </row>
    <row r="93" spans="1:17" x14ac:dyDescent="0.25">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06">
        <f>SUM(F93:F95)</f>
        <v>-0.34359321639624008</v>
      </c>
      <c r="H93" s="32"/>
      <c r="I93" s="32"/>
      <c r="J93" s="32"/>
      <c r="K93" s="32"/>
      <c r="L93" s="32"/>
    </row>
    <row r="94" spans="1:17" x14ac:dyDescent="0.25">
      <c r="A94" s="32"/>
      <c r="B94" s="271" t="str">
        <f>'G-2 Habitat groups'!AU85</f>
        <v>Grassland - Other neutral grassland</v>
      </c>
      <c r="C94" s="272" t="str">
        <f>'G-2 Habitat groups'!AV85</f>
        <v>Grassland</v>
      </c>
      <c r="D94" s="346">
        <f>'G-2 Habitat groups'!BB85</f>
        <v>-0.34359321639624008</v>
      </c>
      <c r="E94" s="346">
        <f>'G-2 Habitat groups'!BD85</f>
        <v>0</v>
      </c>
      <c r="F94" s="346">
        <f>'G-2 Habitat groups'!BE85</f>
        <v>-0.34359321639624008</v>
      </c>
      <c r="G94" s="1307"/>
      <c r="H94" s="32"/>
      <c r="I94" s="32"/>
      <c r="J94" s="32"/>
      <c r="K94" s="32"/>
      <c r="L94" s="32"/>
    </row>
    <row r="95" spans="1:17" ht="14.4" thickBot="1" x14ac:dyDescent="0.3">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08"/>
      <c r="H95" s="32"/>
      <c r="I95" s="32"/>
      <c r="J95" s="32"/>
      <c r="K95" s="32"/>
      <c r="L95" s="32"/>
      <c r="M95" s="32"/>
    </row>
    <row r="96" spans="1:17" x14ac:dyDescent="0.25">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06">
        <f>SUM(F96:F102)</f>
        <v>0</v>
      </c>
      <c r="H96" s="32"/>
      <c r="I96" s="32"/>
      <c r="J96" s="32"/>
      <c r="K96" s="32"/>
      <c r="L96" s="32"/>
      <c r="M96" s="32"/>
    </row>
    <row r="97" spans="1:15" x14ac:dyDescent="0.25">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07"/>
      <c r="H97" s="32"/>
      <c r="I97" s="32"/>
      <c r="J97" s="32"/>
      <c r="K97" s="32"/>
      <c r="L97" s="32"/>
      <c r="M97" s="32"/>
    </row>
    <row r="98" spans="1:15" x14ac:dyDescent="0.25">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07"/>
      <c r="H98" s="32"/>
      <c r="I98" s="32"/>
      <c r="J98" s="32"/>
      <c r="K98" s="32"/>
      <c r="L98" s="32"/>
      <c r="M98" s="32"/>
    </row>
    <row r="99" spans="1:15" x14ac:dyDescent="0.25">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07"/>
      <c r="H99" s="32"/>
      <c r="I99" s="32"/>
      <c r="J99" s="32"/>
      <c r="K99" s="32"/>
      <c r="L99" s="32"/>
      <c r="M99" s="32"/>
    </row>
    <row r="100" spans="1:15" x14ac:dyDescent="0.25">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07"/>
      <c r="H100" s="32"/>
      <c r="I100" s="32"/>
      <c r="J100" s="32"/>
      <c r="K100" s="32"/>
      <c r="L100" s="32"/>
      <c r="M100" s="32"/>
    </row>
    <row r="101" spans="1:15" x14ac:dyDescent="0.25">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07"/>
      <c r="H101" s="32"/>
      <c r="I101" s="32"/>
      <c r="J101" s="32"/>
      <c r="K101" s="32"/>
      <c r="L101" s="32"/>
      <c r="M101" s="32"/>
      <c r="N101" s="32"/>
      <c r="O101" s="32"/>
    </row>
    <row r="102" spans="1:15" ht="14.4" thickBot="1" x14ac:dyDescent="0.3">
      <c r="A102" s="32"/>
      <c r="B102" s="273" t="str">
        <f>'G-2 Habitat groups'!AU92</f>
        <v>Heathland and shrub - Mixed scrub</v>
      </c>
      <c r="C102" s="274" t="str">
        <f>'G-2 Habitat groups'!AV92</f>
        <v>Heathland and shrub</v>
      </c>
      <c r="D102" s="355">
        <f>'G-2 Habitat groups'!BB92</f>
        <v>0</v>
      </c>
      <c r="E102" s="355">
        <f>'G-2 Habitat groups'!BD92</f>
        <v>0</v>
      </c>
      <c r="F102" s="355">
        <f>'G-2 Habitat groups'!BE92</f>
        <v>0</v>
      </c>
      <c r="G102" s="1308"/>
      <c r="H102" s="32"/>
      <c r="I102" s="32"/>
      <c r="J102" s="32"/>
      <c r="K102" s="32"/>
      <c r="L102" s="32"/>
      <c r="M102" s="32"/>
      <c r="N102" s="32"/>
      <c r="O102" s="32"/>
    </row>
    <row r="103" spans="1:15" x14ac:dyDescent="0.25">
      <c r="A103" s="32"/>
      <c r="B103" s="278" t="str">
        <f>'G-2 Habitat groups'!AU93</f>
        <v>Lakes - Ponds (non-priority habitat)</v>
      </c>
      <c r="C103" s="279" t="str">
        <f>'G-2 Habitat groups'!AV93</f>
        <v>Lakes</v>
      </c>
      <c r="D103" s="354">
        <f>'G-2 Habitat groups'!BB93</f>
        <v>1.5440000000000001E-2</v>
      </c>
      <c r="E103" s="354">
        <f>'G-2 Habitat groups'!BD93</f>
        <v>0</v>
      </c>
      <c r="F103" s="354">
        <f>'G-2 Habitat groups'!BE93</f>
        <v>1.5440000000000001E-2</v>
      </c>
      <c r="G103" s="1306">
        <f>SUM(F103:F104)</f>
        <v>1.5440000000000001E-2</v>
      </c>
      <c r="H103" s="32"/>
      <c r="K103" s="32"/>
      <c r="L103" s="32"/>
      <c r="M103" s="32"/>
      <c r="N103" s="32"/>
      <c r="O103" s="32"/>
    </row>
    <row r="104" spans="1:15" ht="14.4" thickBot="1" x14ac:dyDescent="0.3">
      <c r="A104" s="32"/>
      <c r="B104" s="273" t="str">
        <f>'G-2 Habitat groups'!AU94</f>
        <v>Lakes - Reservoirs</v>
      </c>
      <c r="C104" s="274" t="str">
        <f>'G-2 Habitat groups'!AV94</f>
        <v>Lakes</v>
      </c>
      <c r="D104" s="355">
        <f>'G-2 Habitat groups'!BB94</f>
        <v>0</v>
      </c>
      <c r="E104" s="355">
        <f>'G-2 Habitat groups'!BD94</f>
        <v>0</v>
      </c>
      <c r="F104" s="355">
        <f>'G-2 Habitat groups'!BE94</f>
        <v>0</v>
      </c>
      <c r="G104" s="1308"/>
      <c r="H104" s="32"/>
      <c r="K104" s="32"/>
      <c r="L104" s="32"/>
      <c r="M104" s="32"/>
      <c r="N104" s="32"/>
      <c r="O104" s="32"/>
    </row>
    <row r="105" spans="1:15" ht="14.4" thickBot="1" x14ac:dyDescent="0.3">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25">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06">
        <f>SUM(F106:F107)</f>
        <v>0</v>
      </c>
      <c r="H106" s="32"/>
      <c r="I106" s="32"/>
      <c r="J106" s="32"/>
      <c r="K106" s="32"/>
      <c r="L106" s="32"/>
      <c r="M106" s="32"/>
      <c r="N106" s="32"/>
      <c r="O106" s="32"/>
    </row>
    <row r="107" spans="1:15" ht="15" customHeight="1" thickBot="1" x14ac:dyDescent="0.3">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07"/>
      <c r="H107" s="32"/>
      <c r="I107" s="32"/>
      <c r="J107" s="32"/>
      <c r="K107" s="32"/>
      <c r="L107" s="32"/>
      <c r="M107" s="32"/>
      <c r="N107" s="32"/>
      <c r="O107" s="32"/>
    </row>
    <row r="108" spans="1:15" ht="15.75" customHeight="1" x14ac:dyDescent="0.25">
      <c r="A108" s="32"/>
      <c r="B108" s="571" t="str">
        <f>'G-2 Habitat groups'!AU105</f>
        <v>Individual trees - Urban tree</v>
      </c>
      <c r="C108" s="572" t="str">
        <f>'G-2 Habitat groups'!AV105</f>
        <v>Individual trees</v>
      </c>
      <c r="D108" s="573">
        <f>'G-2 Habitat groups'!BB105</f>
        <v>0</v>
      </c>
      <c r="E108" s="573">
        <f>'G-2 Habitat groups'!BD105</f>
        <v>0</v>
      </c>
      <c r="F108" s="354">
        <f>'G-2 Habitat groups'!BE105</f>
        <v>0</v>
      </c>
      <c r="G108" s="1306">
        <f>SUM(F108:F109)</f>
        <v>0</v>
      </c>
      <c r="H108" s="32"/>
      <c r="I108" s="32"/>
      <c r="J108" s="32"/>
      <c r="K108" s="32"/>
      <c r="L108" s="32"/>
      <c r="M108" s="32"/>
      <c r="N108" s="32"/>
      <c r="O108" s="32"/>
    </row>
    <row r="109" spans="1:15" ht="15.75" customHeight="1" thickBot="1" x14ac:dyDescent="0.3">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08"/>
      <c r="H109" s="32"/>
      <c r="I109" s="32"/>
      <c r="J109" s="32"/>
      <c r="K109" s="32"/>
      <c r="L109" s="32"/>
      <c r="M109" s="32"/>
      <c r="N109" s="32"/>
      <c r="O109" s="32"/>
    </row>
    <row r="110" spans="1:15" x14ac:dyDescent="0.25">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06">
        <f>SUM(F110:F112)</f>
        <v>0</v>
      </c>
      <c r="H110" s="32"/>
      <c r="I110" s="32"/>
      <c r="J110" s="32"/>
      <c r="K110" s="32"/>
      <c r="L110" s="32"/>
      <c r="M110" s="32"/>
      <c r="N110" s="32"/>
      <c r="O110" s="32"/>
    </row>
    <row r="111" spans="1:15" x14ac:dyDescent="0.25">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07"/>
      <c r="H111" s="32"/>
      <c r="I111" s="32"/>
      <c r="J111" s="32"/>
      <c r="K111" s="32"/>
      <c r="L111" s="32"/>
      <c r="M111" s="32"/>
      <c r="N111" s="32"/>
      <c r="O111" s="32"/>
    </row>
    <row r="112" spans="1:15" ht="14.4" thickBot="1" x14ac:dyDescent="0.3">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08"/>
      <c r="H112" s="32"/>
      <c r="I112" s="32"/>
      <c r="J112" s="32"/>
      <c r="K112" s="32"/>
      <c r="L112" s="32"/>
      <c r="M112" s="32"/>
      <c r="N112" s="32"/>
      <c r="O112" s="32"/>
    </row>
    <row r="113" spans="1:17" x14ac:dyDescent="0.25">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06">
        <f>SUM(F113:F115)</f>
        <v>0</v>
      </c>
      <c r="H113" s="32"/>
      <c r="I113" s="32"/>
      <c r="J113" s="32"/>
      <c r="K113" s="32"/>
      <c r="L113" s="32"/>
      <c r="M113" s="32"/>
      <c r="N113" s="32"/>
      <c r="O113" s="32"/>
    </row>
    <row r="114" spans="1:17" x14ac:dyDescent="0.25">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07"/>
      <c r="H114" s="32"/>
      <c r="I114" s="32"/>
      <c r="J114" s="32"/>
      <c r="K114" s="32"/>
      <c r="L114" s="32"/>
      <c r="M114" s="32"/>
      <c r="N114" s="32"/>
      <c r="O114" s="32"/>
    </row>
    <row r="115" spans="1:17" ht="21" customHeight="1" thickBot="1" x14ac:dyDescent="0.3">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08"/>
      <c r="H115" s="32"/>
      <c r="I115" s="32"/>
      <c r="J115" s="32"/>
      <c r="K115" s="32"/>
      <c r="L115" s="32"/>
      <c r="M115" s="32"/>
      <c r="N115" s="32"/>
      <c r="O115" s="32"/>
    </row>
    <row r="116" spans="1:17" ht="14.55" customHeight="1" thickBot="1" x14ac:dyDescent="0.3">
      <c r="A116" s="32"/>
      <c r="B116" s="32"/>
      <c r="C116" s="32"/>
      <c r="D116" s="342">
        <f>SUM(D89:D115)</f>
        <v>-0.32815321639624007</v>
      </c>
      <c r="E116" s="343">
        <f>SUM(E89:E115)</f>
        <v>0</v>
      </c>
      <c r="F116" s="344">
        <f>SUM(F89:F115)</f>
        <v>-0.32815321639624007</v>
      </c>
      <c r="H116" s="32"/>
      <c r="I116" s="32"/>
      <c r="J116" s="32"/>
      <c r="K116" s="32"/>
      <c r="L116" s="32"/>
      <c r="M116" s="32"/>
      <c r="N116" s="32"/>
      <c r="O116" s="32"/>
    </row>
    <row r="117" spans="1:17" x14ac:dyDescent="0.25">
      <c r="A117" s="32"/>
      <c r="B117" s="32"/>
      <c r="C117" s="32"/>
      <c r="D117" s="32"/>
      <c r="E117" s="32"/>
      <c r="F117" s="32"/>
      <c r="G117" s="32"/>
      <c r="H117" s="32"/>
      <c r="I117" s="32"/>
      <c r="J117" s="32"/>
      <c r="K117" s="32"/>
      <c r="L117" s="32"/>
      <c r="M117" s="32"/>
      <c r="N117" s="32"/>
      <c r="O117" s="32"/>
      <c r="P117" s="32"/>
      <c r="Q117" s="32"/>
    </row>
    <row r="118" spans="1:17" x14ac:dyDescent="0.25">
      <c r="A118" s="32"/>
      <c r="B118" s="32"/>
      <c r="C118" s="32"/>
      <c r="D118" s="32"/>
      <c r="E118" s="32"/>
      <c r="F118" s="32"/>
      <c r="G118" s="32"/>
      <c r="H118" s="32"/>
      <c r="I118" s="32"/>
      <c r="J118" s="32"/>
      <c r="K118" s="32"/>
      <c r="L118" s="32"/>
      <c r="M118" s="32"/>
      <c r="N118" s="32"/>
      <c r="O118" s="32"/>
      <c r="P118" s="32"/>
      <c r="Q118" s="32"/>
    </row>
    <row r="119" spans="1:17" x14ac:dyDescent="0.25">
      <c r="A119" s="32"/>
      <c r="B119" s="32"/>
      <c r="C119" s="32"/>
      <c r="D119" s="32"/>
      <c r="E119" s="32"/>
      <c r="F119" s="32"/>
      <c r="G119" s="32"/>
      <c r="H119" s="32"/>
      <c r="I119" s="32"/>
      <c r="J119" s="32"/>
      <c r="K119" s="32"/>
      <c r="L119" s="32"/>
      <c r="M119" s="32"/>
      <c r="N119" s="32"/>
      <c r="O119" s="32"/>
      <c r="P119" s="32"/>
      <c r="Q119" s="32"/>
    </row>
    <row r="120" spans="1:17" x14ac:dyDescent="0.25">
      <c r="A120" s="32"/>
      <c r="B120" s="32"/>
      <c r="C120" s="32"/>
      <c r="D120" s="32"/>
      <c r="E120" s="32"/>
      <c r="F120" s="32"/>
      <c r="G120" s="32"/>
      <c r="H120" s="32"/>
      <c r="I120" s="32"/>
      <c r="J120" s="32"/>
      <c r="K120" s="32"/>
      <c r="L120" s="32"/>
      <c r="M120" s="32"/>
      <c r="N120" s="32"/>
      <c r="O120" s="32"/>
      <c r="P120" s="32"/>
      <c r="Q120" s="32"/>
    </row>
    <row r="121" spans="1:17" x14ac:dyDescent="0.25">
      <c r="A121" s="32"/>
      <c r="B121" s="32"/>
      <c r="C121" s="32"/>
      <c r="D121" s="32"/>
      <c r="E121" s="32"/>
      <c r="F121" s="32"/>
      <c r="G121" s="32"/>
      <c r="H121" s="32"/>
      <c r="I121" s="32"/>
      <c r="J121" s="32"/>
      <c r="K121" s="32"/>
      <c r="L121" s="32"/>
      <c r="M121" s="32"/>
      <c r="N121" s="32"/>
      <c r="O121" s="32"/>
      <c r="P121" s="32"/>
      <c r="Q121" s="32"/>
    </row>
    <row r="122" spans="1:17" ht="14.4" thickBot="1" x14ac:dyDescent="0.3">
      <c r="A122" s="32"/>
      <c r="B122" s="32"/>
      <c r="C122" s="32"/>
      <c r="D122" s="32"/>
      <c r="E122" s="32"/>
      <c r="F122" s="32"/>
      <c r="G122" s="32"/>
      <c r="H122" s="32"/>
      <c r="I122" s="32"/>
      <c r="J122" s="32"/>
      <c r="K122" s="32"/>
      <c r="L122" s="32"/>
      <c r="M122" s="32"/>
      <c r="N122" s="32"/>
      <c r="O122" s="32"/>
      <c r="P122" s="32"/>
      <c r="Q122" s="32"/>
    </row>
    <row r="123" spans="1:17" ht="25.8" thickBot="1" x14ac:dyDescent="0.3">
      <c r="A123" s="32"/>
      <c r="B123" s="1299" t="s">
        <v>237</v>
      </c>
      <c r="C123" s="1300"/>
      <c r="D123" s="1300"/>
      <c r="E123" s="1300"/>
      <c r="F123" s="1301"/>
      <c r="G123" s="32"/>
      <c r="H123" s="32"/>
      <c r="I123" s="32"/>
      <c r="J123" s="32"/>
      <c r="K123" s="32"/>
      <c r="L123" s="32"/>
      <c r="M123" s="32"/>
      <c r="N123" s="32"/>
      <c r="O123" s="32"/>
    </row>
    <row r="124" spans="1:17" ht="47.4" thickBot="1" x14ac:dyDescent="0.45">
      <c r="A124" s="32"/>
      <c r="B124" s="70" t="s">
        <v>114</v>
      </c>
      <c r="C124" s="71" t="s">
        <v>220</v>
      </c>
      <c r="D124" s="71" t="s">
        <v>221</v>
      </c>
      <c r="E124" s="71" t="s">
        <v>147</v>
      </c>
      <c r="F124" s="72" t="s">
        <v>233</v>
      </c>
      <c r="G124" s="32"/>
      <c r="H124" s="32"/>
      <c r="I124" s="1302" t="s">
        <v>238</v>
      </c>
      <c r="J124" s="1303"/>
      <c r="K124" s="32"/>
      <c r="L124" s="32"/>
      <c r="M124" s="32"/>
      <c r="N124" s="32"/>
    </row>
    <row r="125" spans="1:17" x14ac:dyDescent="0.25">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239</v>
      </c>
      <c r="J125" s="352">
        <f>F163</f>
        <v>0.73442803505272003</v>
      </c>
      <c r="K125" s="32"/>
      <c r="L125" s="32"/>
      <c r="M125" s="32"/>
      <c r="N125" s="32"/>
    </row>
    <row r="126" spans="1:17" ht="14.4" thickBot="1" x14ac:dyDescent="0.3">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J125+J91</f>
        <v>0.40627481865647996</v>
      </c>
      <c r="K126" s="32"/>
      <c r="L126" s="32"/>
      <c r="M126" s="32"/>
      <c r="N126" s="32"/>
    </row>
    <row r="127" spans="1:17" x14ac:dyDescent="0.25">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25">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25">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25">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25">
      <c r="A131" s="32"/>
      <c r="B131" s="215" t="str">
        <f>'G-2 Habitat groups'!AU119</f>
        <v>Grassland - Modified grassland</v>
      </c>
      <c r="C131" s="79" t="str">
        <f>'G-2 Habitat groups'!AV119</f>
        <v>Grassland</v>
      </c>
      <c r="D131" s="358">
        <f>'G-2 Habitat groups'!BB119</f>
        <v>0.67142403505271997</v>
      </c>
      <c r="E131" s="358">
        <f>'G-2 Habitat groups'!BD119</f>
        <v>0</v>
      </c>
      <c r="F131" s="347">
        <f>'G-2 Habitat groups'!BE119</f>
        <v>0.67142403505271997</v>
      </c>
      <c r="G131" s="32"/>
      <c r="H131" s="32"/>
      <c r="I131" s="32"/>
      <c r="J131" s="32"/>
      <c r="K131" s="32"/>
      <c r="L131" s="32"/>
      <c r="M131" s="32"/>
      <c r="N131" s="32"/>
    </row>
    <row r="132" spans="1:14" x14ac:dyDescent="0.25">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25">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25">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25">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x14ac:dyDescent="0.25">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25">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25">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25">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25">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25">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25">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25">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25">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25">
      <c r="A145" s="32"/>
      <c r="B145" s="215" t="str">
        <f>'G-2 Habitat groups'!AU130</f>
        <v>Urban - Introduced shrub</v>
      </c>
      <c r="C145" s="79" t="str">
        <f>'G-2 Habitat groups'!AV130</f>
        <v>Urban</v>
      </c>
      <c r="D145" s="358">
        <f>'G-2 Habitat groups'!BB130</f>
        <v>8.2603999999999997E-2</v>
      </c>
      <c r="E145" s="358">
        <f>'G-2 Habitat groups'!BD130</f>
        <v>0</v>
      </c>
      <c r="F145" s="347">
        <f>'G-2 Habitat groups'!BE130</f>
        <v>8.2603999999999997E-2</v>
      </c>
      <c r="G145" s="32"/>
      <c r="H145" s="32"/>
      <c r="I145" s="32"/>
      <c r="J145" s="32"/>
      <c r="K145" s="32"/>
      <c r="L145" s="32"/>
      <c r="M145" s="32"/>
      <c r="N145" s="32"/>
    </row>
    <row r="146" spans="1:15" x14ac:dyDescent="0.25">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25">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25">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25">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25">
      <c r="A150" s="32"/>
      <c r="B150" s="215" t="str">
        <f>'G-2 Habitat groups'!AU137</f>
        <v>Urban - Vegetated garden</v>
      </c>
      <c r="C150" s="79" t="str">
        <f>'G-2 Habitat groups'!AV137</f>
        <v>Urban</v>
      </c>
      <c r="D150" s="358">
        <f>'G-2 Habitat groups'!BB137</f>
        <v>-1.9599999999999999E-2</v>
      </c>
      <c r="E150" s="358">
        <f>'G-2 Habitat groups'!BD137</f>
        <v>0</v>
      </c>
      <c r="F150" s="347">
        <f>'G-2 Habitat groups'!BE137</f>
        <v>-1.9599999999999999E-2</v>
      </c>
      <c r="G150" s="32"/>
      <c r="H150" s="32"/>
      <c r="I150" s="32"/>
      <c r="J150" s="32"/>
      <c r="K150" s="32"/>
      <c r="L150" s="32"/>
      <c r="M150" s="32"/>
      <c r="N150" s="32"/>
      <c r="O150" s="32"/>
    </row>
    <row r="151" spans="1:15" x14ac:dyDescent="0.25">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25">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25">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25">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25">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25">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25">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25">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25">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25">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25">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4" thickBot="1" x14ac:dyDescent="0.3">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4" thickBot="1" x14ac:dyDescent="0.3">
      <c r="A163" s="32"/>
      <c r="B163" s="32"/>
      <c r="C163" s="32"/>
      <c r="D163" s="414">
        <f>SUM(D125:D162)</f>
        <v>0.73442803505272003</v>
      </c>
      <c r="E163" s="133"/>
      <c r="F163" s="414">
        <f>SUM(F125:F162)</f>
        <v>0.73442803505272003</v>
      </c>
      <c r="G163" s="32"/>
      <c r="H163" s="32"/>
      <c r="I163" s="32"/>
      <c r="J163" s="32"/>
      <c r="K163" s="32"/>
      <c r="L163" s="32"/>
      <c r="M163" s="32"/>
      <c r="N163" s="32"/>
      <c r="O163" s="32"/>
      <c r="P163" s="32"/>
      <c r="Q163" s="32"/>
    </row>
    <row r="164" spans="1:17" x14ac:dyDescent="0.25">
      <c r="A164" s="32"/>
      <c r="G164" s="32"/>
      <c r="H164" s="32"/>
      <c r="I164" s="32"/>
      <c r="J164" s="32"/>
      <c r="K164" s="32"/>
      <c r="L164" s="32"/>
      <c r="M164" s="32"/>
      <c r="N164" s="32"/>
      <c r="O164" s="32"/>
      <c r="P164" s="32"/>
      <c r="Q164" s="32"/>
    </row>
    <row r="165" spans="1:17" hidden="1" x14ac:dyDescent="0.25">
      <c r="A165" s="32"/>
      <c r="B165" s="32"/>
      <c r="C165" s="32"/>
      <c r="D165" s="32"/>
      <c r="E165" s="32"/>
      <c r="F165" s="32"/>
      <c r="G165" s="32"/>
      <c r="H165" s="32"/>
      <c r="I165" s="32"/>
      <c r="J165" s="32"/>
      <c r="K165" s="32"/>
      <c r="L165" s="32"/>
      <c r="M165" s="32"/>
      <c r="N165" s="32"/>
      <c r="O165" s="32"/>
      <c r="P165" s="32"/>
      <c r="Q165" s="32"/>
    </row>
    <row r="166" spans="1:17" hidden="1" x14ac:dyDescent="0.25">
      <c r="A166" s="32"/>
      <c r="B166" s="32"/>
      <c r="C166" s="32"/>
      <c r="D166" s="32"/>
      <c r="E166" s="32"/>
      <c r="F166" s="32"/>
      <c r="G166" s="32"/>
      <c r="H166" s="32"/>
      <c r="I166" s="32"/>
      <c r="J166" s="32"/>
      <c r="K166" s="32"/>
      <c r="L166" s="32"/>
      <c r="M166" s="32"/>
      <c r="N166" s="32"/>
      <c r="O166" s="32"/>
      <c r="P166" s="32"/>
      <c r="Q166" s="32"/>
    </row>
    <row r="167" spans="1:17" hidden="1" x14ac:dyDescent="0.25">
      <c r="A167" s="32"/>
      <c r="B167" s="32"/>
      <c r="C167" s="32"/>
      <c r="D167" s="32"/>
      <c r="E167" s="32"/>
      <c r="F167" s="32"/>
      <c r="G167" s="32"/>
      <c r="H167" s="32"/>
      <c r="I167" s="32"/>
      <c r="J167" s="32"/>
      <c r="K167" s="32"/>
      <c r="L167" s="32"/>
      <c r="M167" s="32"/>
      <c r="N167" s="32"/>
      <c r="O167" s="32"/>
      <c r="P167" s="32"/>
      <c r="Q167" s="32"/>
    </row>
    <row r="168" spans="1:17" hidden="1" x14ac:dyDescent="0.25">
      <c r="A168" s="32"/>
      <c r="B168" s="32"/>
      <c r="C168" s="32"/>
      <c r="D168" s="32"/>
      <c r="E168" s="32"/>
      <c r="F168" s="32"/>
      <c r="G168" s="32"/>
      <c r="H168" s="32"/>
      <c r="I168" s="32"/>
      <c r="J168" s="32"/>
      <c r="K168" s="32"/>
      <c r="L168" s="32"/>
      <c r="M168" s="32"/>
      <c r="N168" s="32"/>
      <c r="O168" s="32"/>
      <c r="P168" s="32"/>
      <c r="Q168" s="32"/>
    </row>
    <row r="169" spans="1:17" hidden="1" x14ac:dyDescent="0.25">
      <c r="A169" s="32"/>
      <c r="B169" s="32"/>
      <c r="C169" s="32"/>
      <c r="D169" s="32"/>
      <c r="E169" s="32"/>
      <c r="F169" s="32"/>
      <c r="G169" s="32"/>
      <c r="H169" s="32"/>
      <c r="I169" s="32"/>
      <c r="J169" s="32"/>
      <c r="K169" s="32"/>
      <c r="L169" s="32"/>
      <c r="M169" s="32"/>
      <c r="N169" s="32"/>
      <c r="O169" s="32"/>
      <c r="P169" s="32"/>
      <c r="Q169" s="32"/>
    </row>
    <row r="170" spans="1:17" hidden="1" x14ac:dyDescent="0.25">
      <c r="A170" s="32"/>
      <c r="B170" s="32"/>
      <c r="C170" s="32"/>
      <c r="D170" s="32"/>
      <c r="E170" s="32"/>
      <c r="F170" s="32"/>
      <c r="G170" s="32"/>
      <c r="H170" s="32"/>
      <c r="I170" s="32"/>
      <c r="J170" s="32"/>
      <c r="K170" s="32"/>
      <c r="L170" s="32"/>
      <c r="M170" s="32"/>
      <c r="N170" s="32"/>
      <c r="O170" s="32"/>
      <c r="P170" s="32"/>
      <c r="Q170" s="32"/>
    </row>
    <row r="171" spans="1:17" hidden="1" x14ac:dyDescent="0.25">
      <c r="A171" s="32"/>
      <c r="B171" s="32"/>
      <c r="C171" s="32"/>
      <c r="D171" s="32"/>
      <c r="E171" s="32"/>
      <c r="F171" s="32"/>
      <c r="G171" s="32"/>
      <c r="H171" s="32"/>
      <c r="I171" s="32"/>
      <c r="J171" s="32"/>
      <c r="K171" s="32"/>
      <c r="L171" s="32"/>
      <c r="M171" s="32"/>
      <c r="N171" s="32"/>
      <c r="O171" s="32"/>
      <c r="P171" s="32"/>
      <c r="Q171" s="32"/>
    </row>
    <row r="172" spans="1:17" hidden="1" x14ac:dyDescent="0.25">
      <c r="A172" s="32"/>
      <c r="B172" s="32"/>
      <c r="C172" s="32"/>
      <c r="D172" s="32"/>
      <c r="E172" s="32"/>
      <c r="F172" s="32"/>
      <c r="G172" s="32"/>
      <c r="H172" s="32"/>
      <c r="I172" s="32"/>
      <c r="J172" s="32"/>
      <c r="K172" s="32"/>
      <c r="L172" s="32"/>
      <c r="M172" s="32"/>
      <c r="N172" s="32"/>
      <c r="O172" s="32"/>
      <c r="P172" s="32"/>
      <c r="Q172" s="32"/>
    </row>
    <row r="173" spans="1:17" hidden="1" x14ac:dyDescent="0.25">
      <c r="A173" s="32"/>
      <c r="B173" s="32"/>
      <c r="C173" s="32"/>
      <c r="D173" s="32"/>
      <c r="E173" s="32"/>
      <c r="F173" s="32"/>
      <c r="G173" s="32"/>
      <c r="H173" s="32"/>
      <c r="I173" s="32"/>
      <c r="J173" s="32"/>
      <c r="K173" s="32"/>
      <c r="L173" s="32"/>
      <c r="M173" s="32"/>
      <c r="N173" s="32"/>
      <c r="O173" s="32"/>
      <c r="P173" s="32"/>
      <c r="Q173" s="32"/>
    </row>
    <row r="174" spans="1:17" hidden="1" x14ac:dyDescent="0.25">
      <c r="A174" s="32"/>
      <c r="B174" s="32"/>
      <c r="C174" s="32"/>
      <c r="D174" s="32"/>
      <c r="E174" s="32"/>
      <c r="F174" s="32"/>
      <c r="G174" s="32"/>
      <c r="H174" s="32"/>
      <c r="I174" s="32"/>
      <c r="J174" s="32"/>
      <c r="K174" s="32"/>
      <c r="L174" s="32"/>
      <c r="M174" s="32"/>
      <c r="N174" s="32"/>
      <c r="O174" s="32"/>
      <c r="P174" s="32"/>
      <c r="Q174" s="32"/>
    </row>
    <row r="175" spans="1:17" hidden="1" x14ac:dyDescent="0.25">
      <c r="A175" s="32"/>
      <c r="B175" s="32"/>
      <c r="C175" s="32"/>
      <c r="D175" s="32"/>
      <c r="E175" s="32"/>
      <c r="F175" s="32"/>
      <c r="G175" s="32"/>
      <c r="H175" s="32"/>
      <c r="I175" s="32"/>
      <c r="J175" s="32"/>
      <c r="K175" s="32"/>
      <c r="L175" s="32"/>
      <c r="M175" s="32"/>
      <c r="N175" s="32"/>
      <c r="O175" s="32"/>
      <c r="P175" s="32"/>
      <c r="Q175" s="32"/>
    </row>
    <row r="176" spans="1:17" hidden="1" x14ac:dyDescent="0.25">
      <c r="A176" s="32"/>
      <c r="B176" s="32"/>
      <c r="C176" s="32"/>
      <c r="D176" s="32"/>
      <c r="E176" s="32"/>
      <c r="F176" s="32"/>
      <c r="G176" s="32"/>
      <c r="H176" s="32"/>
      <c r="I176" s="32"/>
      <c r="J176" s="32"/>
      <c r="K176" s="32"/>
      <c r="L176" s="32"/>
      <c r="M176" s="32"/>
      <c r="N176" s="32"/>
      <c r="O176" s="32"/>
      <c r="P176" s="32"/>
      <c r="Q176" s="32"/>
    </row>
    <row r="177" spans="1:17" hidden="1" x14ac:dyDescent="0.25">
      <c r="A177" s="32"/>
      <c r="B177" s="32"/>
      <c r="C177" s="32"/>
      <c r="D177" s="32"/>
      <c r="E177" s="32"/>
      <c r="F177" s="32"/>
      <c r="G177" s="32"/>
      <c r="H177" s="32"/>
      <c r="I177" s="32"/>
      <c r="J177" s="32"/>
      <c r="K177" s="32"/>
      <c r="L177" s="32"/>
      <c r="M177" s="32"/>
      <c r="N177" s="32"/>
      <c r="O177" s="32"/>
      <c r="P177" s="32"/>
      <c r="Q177" s="32"/>
    </row>
    <row r="178" spans="1:17" hidden="1" x14ac:dyDescent="0.25">
      <c r="A178" s="32"/>
      <c r="B178" s="32"/>
      <c r="C178" s="32"/>
      <c r="D178" s="32"/>
      <c r="E178" s="32"/>
      <c r="F178" s="32"/>
      <c r="G178" s="32"/>
      <c r="H178" s="32"/>
      <c r="I178" s="32"/>
      <c r="J178" s="32"/>
      <c r="K178" s="32"/>
      <c r="L178" s="32"/>
      <c r="M178" s="32"/>
      <c r="N178" s="32"/>
      <c r="O178" s="32"/>
      <c r="P178" s="32"/>
      <c r="Q178" s="32"/>
    </row>
    <row r="179" spans="1:17" hidden="1" x14ac:dyDescent="0.25">
      <c r="A179" s="32"/>
      <c r="B179" s="32"/>
      <c r="C179" s="32"/>
      <c r="D179" s="32"/>
      <c r="E179" s="32"/>
      <c r="F179" s="32"/>
      <c r="G179" s="32"/>
      <c r="H179" s="32"/>
      <c r="I179" s="32"/>
      <c r="J179" s="32"/>
      <c r="K179" s="32"/>
      <c r="L179" s="32"/>
      <c r="M179" s="32"/>
      <c r="N179" s="32"/>
      <c r="O179" s="32"/>
      <c r="P179" s="32"/>
      <c r="Q179" s="32"/>
    </row>
    <row r="180" spans="1:17" hidden="1" x14ac:dyDescent="0.25">
      <c r="A180" s="32"/>
      <c r="B180" s="32"/>
      <c r="C180" s="32"/>
      <c r="D180" s="32"/>
      <c r="E180" s="32"/>
      <c r="F180" s="32"/>
      <c r="G180" s="32"/>
      <c r="H180" s="32"/>
      <c r="I180" s="32"/>
      <c r="J180" s="32"/>
      <c r="K180" s="32"/>
      <c r="L180" s="32"/>
      <c r="M180" s="32"/>
      <c r="N180" s="32"/>
      <c r="O180" s="32"/>
      <c r="P180" s="32"/>
      <c r="Q180" s="32"/>
    </row>
    <row r="181" spans="1:17" hidden="1" x14ac:dyDescent="0.25">
      <c r="A181" s="32"/>
      <c r="B181" s="32"/>
      <c r="C181" s="32"/>
      <c r="D181" s="32"/>
      <c r="E181" s="32"/>
      <c r="F181" s="32"/>
      <c r="G181" s="32"/>
      <c r="H181" s="32"/>
      <c r="I181" s="32"/>
      <c r="J181" s="32"/>
      <c r="K181" s="32"/>
      <c r="L181" s="32"/>
      <c r="M181" s="32"/>
      <c r="N181" s="32"/>
      <c r="O181" s="32"/>
      <c r="P181" s="32"/>
      <c r="Q181" s="32"/>
    </row>
    <row r="182" spans="1:17" hidden="1" x14ac:dyDescent="0.25">
      <c r="A182" s="32"/>
      <c r="B182" s="32"/>
      <c r="C182" s="32"/>
      <c r="D182" s="32"/>
      <c r="E182" s="32"/>
      <c r="F182" s="32"/>
      <c r="G182" s="32"/>
      <c r="H182" s="32"/>
      <c r="I182" s="32"/>
      <c r="J182" s="32"/>
      <c r="K182" s="32"/>
      <c r="L182" s="32"/>
      <c r="M182" s="32"/>
      <c r="N182" s="32"/>
      <c r="O182" s="32"/>
      <c r="P182" s="32"/>
      <c r="Q182" s="32"/>
    </row>
    <row r="183" spans="1:17" hidden="1" x14ac:dyDescent="0.25">
      <c r="A183" s="32"/>
      <c r="B183" s="32"/>
      <c r="C183" s="32"/>
      <c r="D183" s="32"/>
      <c r="E183" s="32"/>
      <c r="F183" s="32"/>
      <c r="G183" s="32"/>
      <c r="H183" s="32"/>
      <c r="I183" s="32"/>
      <c r="J183" s="32"/>
      <c r="K183" s="32"/>
      <c r="L183" s="32"/>
      <c r="M183" s="32"/>
      <c r="N183" s="32"/>
      <c r="O183" s="32"/>
      <c r="P183" s="32"/>
      <c r="Q183" s="32"/>
    </row>
    <row r="184" spans="1:17" hidden="1" x14ac:dyDescent="0.25">
      <c r="A184" s="32"/>
      <c r="B184" s="32"/>
      <c r="C184" s="32"/>
      <c r="D184" s="32"/>
      <c r="E184" s="32"/>
      <c r="F184" s="32"/>
      <c r="G184" s="32"/>
      <c r="H184" s="32"/>
      <c r="I184" s="32"/>
      <c r="J184" s="32"/>
      <c r="K184" s="32"/>
      <c r="L184" s="32"/>
      <c r="M184" s="32"/>
      <c r="N184" s="32"/>
      <c r="O184" s="32"/>
      <c r="P184" s="32"/>
      <c r="Q184" s="32"/>
    </row>
    <row r="185" spans="1:17" hidden="1" x14ac:dyDescent="0.25">
      <c r="A185" s="32"/>
      <c r="B185" s="32"/>
      <c r="C185" s="32"/>
      <c r="D185" s="32"/>
      <c r="E185" s="32"/>
      <c r="F185" s="32"/>
      <c r="G185" s="32"/>
      <c r="H185" s="32"/>
      <c r="I185" s="32"/>
      <c r="J185" s="32"/>
      <c r="K185" s="32"/>
      <c r="L185" s="32"/>
      <c r="M185" s="32"/>
      <c r="N185" s="32"/>
      <c r="O185" s="32"/>
      <c r="P185" s="32"/>
      <c r="Q185" s="32"/>
    </row>
    <row r="186" spans="1:17" hidden="1" x14ac:dyDescent="0.25">
      <c r="A186" s="32"/>
      <c r="B186" s="32"/>
      <c r="C186" s="32"/>
      <c r="D186" s="32"/>
      <c r="E186" s="32"/>
      <c r="F186" s="32"/>
      <c r="G186" s="32"/>
      <c r="H186" s="32"/>
      <c r="I186" s="32"/>
      <c r="J186" s="32"/>
      <c r="K186" s="32"/>
      <c r="L186" s="32"/>
      <c r="M186" s="32"/>
      <c r="N186" s="32"/>
      <c r="O186" s="32"/>
      <c r="P186" s="32"/>
      <c r="Q186" s="32"/>
    </row>
    <row r="187" spans="1:17" hidden="1" x14ac:dyDescent="0.25">
      <c r="A187" s="32"/>
      <c r="B187" s="32"/>
      <c r="C187" s="32"/>
      <c r="D187" s="32"/>
      <c r="E187" s="32"/>
      <c r="F187" s="32"/>
      <c r="G187" s="32"/>
      <c r="H187" s="32"/>
      <c r="I187" s="32"/>
      <c r="J187" s="32"/>
      <c r="K187" s="32"/>
      <c r="L187" s="32"/>
      <c r="M187" s="32"/>
      <c r="N187" s="32"/>
      <c r="O187" s="32"/>
      <c r="P187" s="32"/>
      <c r="Q187" s="32"/>
    </row>
    <row r="188" spans="1:17" hidden="1" x14ac:dyDescent="0.25">
      <c r="A188" s="32"/>
      <c r="B188" s="32"/>
      <c r="C188" s="32"/>
      <c r="D188" s="32"/>
      <c r="E188" s="32"/>
      <c r="F188" s="32"/>
      <c r="G188" s="32"/>
      <c r="H188" s="32"/>
      <c r="I188" s="32"/>
      <c r="J188" s="32"/>
      <c r="K188" s="32"/>
      <c r="L188" s="32"/>
      <c r="M188" s="32"/>
      <c r="N188" s="32"/>
      <c r="O188" s="32"/>
      <c r="P188" s="32"/>
      <c r="Q188" s="32"/>
    </row>
    <row r="189" spans="1:17" hidden="1" x14ac:dyDescent="0.25">
      <c r="A189" s="32"/>
      <c r="B189" s="32"/>
      <c r="C189" s="32"/>
      <c r="D189" s="32"/>
      <c r="E189" s="32"/>
      <c r="F189" s="32"/>
      <c r="G189" s="32"/>
      <c r="H189" s="32"/>
      <c r="I189" s="32"/>
      <c r="J189" s="32"/>
      <c r="K189" s="32"/>
      <c r="L189" s="32"/>
      <c r="M189" s="32"/>
      <c r="N189" s="32"/>
      <c r="O189" s="32"/>
      <c r="P189" s="32"/>
      <c r="Q189" s="32"/>
    </row>
    <row r="190" spans="1:17" hidden="1" x14ac:dyDescent="0.25">
      <c r="A190" s="32"/>
      <c r="B190" s="32"/>
      <c r="C190" s="32"/>
      <c r="D190" s="32"/>
      <c r="E190" s="32"/>
      <c r="F190" s="32"/>
      <c r="G190" s="32"/>
      <c r="H190" s="32"/>
      <c r="I190" s="32"/>
      <c r="J190" s="32"/>
      <c r="K190" s="32"/>
      <c r="L190" s="32"/>
      <c r="M190" s="32"/>
      <c r="N190" s="32"/>
      <c r="O190" s="32"/>
      <c r="P190" s="32"/>
      <c r="Q190" s="32"/>
    </row>
    <row r="191" spans="1:17" hidden="1" x14ac:dyDescent="0.25">
      <c r="A191" s="32"/>
      <c r="B191" s="32"/>
      <c r="C191" s="32"/>
      <c r="D191" s="32"/>
      <c r="E191" s="32"/>
      <c r="F191" s="32"/>
      <c r="G191" s="32"/>
      <c r="H191" s="32"/>
      <c r="I191" s="32"/>
      <c r="J191" s="32"/>
      <c r="K191" s="32"/>
      <c r="L191" s="32"/>
      <c r="M191" s="32"/>
      <c r="N191" s="32"/>
      <c r="O191" s="32"/>
      <c r="P191" s="32"/>
      <c r="Q191" s="32"/>
    </row>
    <row r="192" spans="1:17" hidden="1" x14ac:dyDescent="0.25">
      <c r="A192" s="32"/>
      <c r="B192" s="32"/>
      <c r="C192" s="32"/>
      <c r="D192" s="32"/>
      <c r="E192" s="32"/>
      <c r="F192" s="32"/>
      <c r="G192" s="32"/>
      <c r="H192" s="32"/>
      <c r="I192" s="32"/>
      <c r="J192" s="32"/>
      <c r="K192" s="32"/>
      <c r="L192" s="32"/>
      <c r="M192" s="32"/>
      <c r="N192" s="32"/>
      <c r="O192" s="32"/>
      <c r="P192" s="32"/>
      <c r="Q192" s="32"/>
    </row>
    <row r="193" spans="1:17" hidden="1" x14ac:dyDescent="0.25">
      <c r="A193" s="32"/>
      <c r="B193" s="32"/>
      <c r="C193" s="32"/>
      <c r="D193" s="32"/>
      <c r="E193" s="32"/>
      <c r="F193" s="32"/>
      <c r="G193" s="32"/>
      <c r="H193" s="32"/>
      <c r="I193" s="32"/>
      <c r="J193" s="32"/>
      <c r="K193" s="32"/>
      <c r="L193" s="32"/>
      <c r="M193" s="32"/>
      <c r="N193" s="32"/>
      <c r="O193" s="32"/>
      <c r="P193" s="32"/>
      <c r="Q193" s="32"/>
    </row>
    <row r="194" spans="1:17" hidden="1" x14ac:dyDescent="0.25">
      <c r="A194" s="32"/>
      <c r="B194" s="32"/>
      <c r="C194" s="32"/>
      <c r="D194" s="32"/>
      <c r="E194" s="32"/>
      <c r="F194" s="32"/>
      <c r="G194" s="32"/>
      <c r="H194" s="32"/>
      <c r="I194" s="32"/>
      <c r="J194" s="32"/>
      <c r="K194" s="32"/>
      <c r="L194" s="32"/>
      <c r="M194" s="32"/>
      <c r="N194" s="32"/>
      <c r="O194" s="32"/>
      <c r="P194" s="32"/>
      <c r="Q194" s="32"/>
    </row>
    <row r="195" spans="1:17" hidden="1" x14ac:dyDescent="0.25">
      <c r="A195" s="32"/>
      <c r="B195" s="32"/>
      <c r="C195" s="32"/>
      <c r="D195" s="32"/>
      <c r="E195" s="32"/>
      <c r="F195" s="32"/>
      <c r="G195" s="32"/>
      <c r="H195" s="32"/>
      <c r="I195" s="32"/>
      <c r="J195" s="32"/>
      <c r="K195" s="32"/>
      <c r="L195" s="32"/>
      <c r="M195" s="32"/>
      <c r="N195" s="32"/>
      <c r="O195" s="32"/>
      <c r="P195" s="32"/>
      <c r="Q195" s="32"/>
    </row>
    <row r="196" spans="1:17" hidden="1" x14ac:dyDescent="0.25">
      <c r="A196" s="32"/>
      <c r="B196" s="32"/>
      <c r="C196" s="32"/>
      <c r="D196" s="32"/>
      <c r="E196" s="32"/>
      <c r="F196" s="32"/>
      <c r="G196" s="32"/>
      <c r="H196" s="32"/>
      <c r="I196" s="32"/>
      <c r="J196" s="32"/>
      <c r="K196" s="32"/>
      <c r="L196" s="32"/>
      <c r="M196" s="32"/>
      <c r="N196" s="32"/>
      <c r="O196" s="32"/>
      <c r="P196" s="32"/>
      <c r="Q196" s="32"/>
    </row>
    <row r="197" spans="1:17" hidden="1" x14ac:dyDescent="0.25">
      <c r="A197" s="32"/>
      <c r="B197" s="32"/>
      <c r="C197" s="32"/>
      <c r="D197" s="32"/>
      <c r="E197" s="32"/>
      <c r="F197" s="32"/>
      <c r="G197" s="32"/>
      <c r="H197" s="32"/>
      <c r="I197" s="32"/>
      <c r="J197" s="32"/>
      <c r="K197" s="32"/>
      <c r="L197" s="32"/>
      <c r="M197" s="32"/>
      <c r="N197" s="32"/>
      <c r="O197" s="32"/>
      <c r="P197" s="32"/>
      <c r="Q197" s="32"/>
    </row>
    <row r="198" spans="1:17" hidden="1" x14ac:dyDescent="0.25">
      <c r="A198" s="32"/>
      <c r="B198" s="32"/>
      <c r="C198" s="32"/>
      <c r="D198" s="32"/>
      <c r="E198" s="32"/>
      <c r="F198" s="32"/>
      <c r="G198" s="32"/>
      <c r="H198" s="32"/>
      <c r="I198" s="32"/>
      <c r="J198" s="32"/>
      <c r="K198" s="32"/>
      <c r="L198" s="32"/>
      <c r="M198" s="32"/>
      <c r="N198" s="32"/>
      <c r="O198" s="32"/>
      <c r="P198" s="32"/>
      <c r="Q198" s="32"/>
    </row>
    <row r="199" spans="1:17" hidden="1" x14ac:dyDescent="0.25">
      <c r="A199" s="32"/>
      <c r="B199" s="32"/>
      <c r="C199" s="32"/>
      <c r="D199" s="32"/>
      <c r="E199" s="32"/>
      <c r="F199" s="32"/>
      <c r="G199" s="32"/>
      <c r="H199" s="32"/>
      <c r="I199" s="32"/>
      <c r="J199" s="32"/>
      <c r="K199" s="32"/>
      <c r="L199" s="32"/>
      <c r="M199" s="32"/>
      <c r="N199" s="32"/>
      <c r="O199" s="32"/>
      <c r="P199" s="32"/>
      <c r="Q199" s="32"/>
    </row>
    <row r="200" spans="1:17" hidden="1" x14ac:dyDescent="0.25">
      <c r="A200" s="32"/>
      <c r="B200" s="32"/>
      <c r="C200" s="32"/>
      <c r="D200" s="32"/>
      <c r="E200" s="32"/>
      <c r="F200" s="32"/>
      <c r="G200" s="32"/>
      <c r="H200" s="32"/>
      <c r="I200" s="32"/>
      <c r="J200" s="32"/>
      <c r="K200" s="32"/>
      <c r="L200" s="32"/>
      <c r="M200" s="32"/>
      <c r="N200" s="32"/>
      <c r="O200" s="32"/>
      <c r="P200" s="32"/>
      <c r="Q200" s="32"/>
    </row>
    <row r="201" spans="1:17" hidden="1" x14ac:dyDescent="0.25">
      <c r="A201" s="32"/>
      <c r="B201" s="32"/>
      <c r="C201" s="32"/>
      <c r="D201" s="32"/>
      <c r="E201" s="32"/>
      <c r="F201" s="32"/>
      <c r="G201" s="32"/>
      <c r="H201" s="32"/>
      <c r="I201" s="32"/>
      <c r="J201" s="32"/>
      <c r="K201" s="32"/>
      <c r="L201" s="32"/>
      <c r="M201" s="32"/>
      <c r="N201" s="32"/>
      <c r="O201" s="32"/>
      <c r="P201" s="32"/>
      <c r="Q201" s="32"/>
    </row>
    <row r="202" spans="1:17" hidden="1" x14ac:dyDescent="0.25">
      <c r="A202" s="32"/>
      <c r="B202" s="32"/>
      <c r="C202" s="32"/>
      <c r="D202" s="32"/>
      <c r="E202" s="32"/>
      <c r="F202" s="32"/>
      <c r="G202" s="32"/>
      <c r="H202" s="32"/>
      <c r="I202" s="32"/>
      <c r="J202" s="32"/>
      <c r="K202" s="32"/>
      <c r="L202" s="32"/>
      <c r="M202" s="32"/>
      <c r="N202" s="32"/>
      <c r="O202" s="32"/>
      <c r="P202" s="32"/>
      <c r="Q202" s="32"/>
    </row>
    <row r="203" spans="1:17" hidden="1" x14ac:dyDescent="0.25">
      <c r="A203" s="32"/>
      <c r="B203" s="32"/>
      <c r="C203" s="32"/>
      <c r="D203" s="32"/>
      <c r="E203" s="32"/>
      <c r="F203" s="32"/>
      <c r="G203" s="32"/>
      <c r="H203" s="32"/>
      <c r="I203" s="32"/>
      <c r="J203" s="32"/>
      <c r="K203" s="32"/>
      <c r="L203" s="32"/>
      <c r="M203" s="32"/>
      <c r="N203" s="32"/>
      <c r="O203" s="32"/>
      <c r="P203" s="32"/>
      <c r="Q203" s="32"/>
    </row>
    <row r="204" spans="1:17" hidden="1" x14ac:dyDescent="0.25">
      <c r="A204" s="32"/>
      <c r="B204" s="32"/>
      <c r="C204" s="32"/>
      <c r="D204" s="32"/>
      <c r="E204" s="32"/>
      <c r="F204" s="32"/>
      <c r="G204" s="32"/>
      <c r="H204" s="32"/>
      <c r="I204" s="32"/>
      <c r="J204" s="32"/>
      <c r="K204" s="32"/>
      <c r="L204" s="32"/>
      <c r="M204" s="32"/>
      <c r="N204" s="32"/>
      <c r="O204" s="32"/>
      <c r="P204" s="32"/>
      <c r="Q204" s="32"/>
    </row>
    <row r="205" spans="1:17" hidden="1" x14ac:dyDescent="0.25">
      <c r="A205" s="32"/>
      <c r="B205" s="32"/>
      <c r="C205" s="32"/>
      <c r="D205" s="32"/>
      <c r="E205" s="32"/>
      <c r="F205" s="32"/>
      <c r="G205" s="32"/>
      <c r="H205" s="32"/>
      <c r="I205" s="32"/>
      <c r="J205" s="32"/>
      <c r="K205" s="32"/>
      <c r="L205" s="32"/>
      <c r="M205" s="32"/>
      <c r="N205" s="32"/>
      <c r="O205" s="32"/>
      <c r="P205" s="32"/>
      <c r="Q205" s="32"/>
    </row>
    <row r="206" spans="1:17" hidden="1" x14ac:dyDescent="0.25">
      <c r="A206" s="32"/>
      <c r="B206" s="32"/>
      <c r="C206" s="32"/>
      <c r="D206" s="32"/>
      <c r="E206" s="32"/>
      <c r="F206" s="32"/>
      <c r="G206" s="32"/>
      <c r="H206" s="32"/>
      <c r="I206" s="32"/>
      <c r="J206" s="32"/>
      <c r="K206" s="32"/>
      <c r="L206" s="32"/>
      <c r="M206" s="32"/>
      <c r="N206" s="32"/>
      <c r="O206" s="32"/>
      <c r="P206" s="32"/>
      <c r="Q206" s="32"/>
    </row>
    <row r="207" spans="1:17" hidden="1" x14ac:dyDescent="0.25">
      <c r="A207" s="32"/>
      <c r="B207" s="32"/>
      <c r="C207" s="32"/>
      <c r="D207" s="32"/>
      <c r="E207" s="32"/>
      <c r="F207" s="32"/>
      <c r="G207" s="32"/>
      <c r="H207" s="32"/>
      <c r="I207" s="32"/>
      <c r="J207" s="32"/>
      <c r="K207" s="32"/>
      <c r="L207" s="32"/>
      <c r="M207" s="32"/>
      <c r="N207" s="32"/>
      <c r="O207" s="32"/>
      <c r="P207" s="32"/>
      <c r="Q207" s="32"/>
    </row>
    <row r="208" spans="1:17" hidden="1" x14ac:dyDescent="0.25">
      <c r="A208" s="32"/>
      <c r="B208" s="32"/>
      <c r="C208" s="32"/>
      <c r="D208" s="32"/>
      <c r="E208" s="32"/>
      <c r="F208" s="32"/>
      <c r="G208" s="32"/>
      <c r="H208" s="32"/>
      <c r="I208" s="32"/>
      <c r="J208" s="32"/>
      <c r="K208" s="32"/>
      <c r="L208" s="32"/>
      <c r="M208" s="32"/>
      <c r="N208" s="32"/>
      <c r="O208" s="32"/>
      <c r="P208" s="32"/>
      <c r="Q208" s="32"/>
    </row>
    <row r="209" spans="1:17" hidden="1" x14ac:dyDescent="0.25">
      <c r="A209" s="32"/>
      <c r="B209" s="32"/>
      <c r="C209" s="32"/>
      <c r="D209" s="32"/>
      <c r="E209" s="32"/>
      <c r="F209" s="32"/>
      <c r="G209" s="32"/>
      <c r="H209" s="32"/>
      <c r="I209" s="32"/>
      <c r="J209" s="32"/>
      <c r="K209" s="32"/>
      <c r="L209" s="32"/>
      <c r="M209" s="32"/>
      <c r="N209" s="32"/>
      <c r="O209" s="32"/>
      <c r="P209" s="32"/>
      <c r="Q209" s="32"/>
    </row>
    <row r="210" spans="1:17" hidden="1" x14ac:dyDescent="0.25">
      <c r="A210" s="32"/>
      <c r="B210" s="32"/>
      <c r="C210" s="32"/>
      <c r="D210" s="32"/>
      <c r="E210" s="32"/>
      <c r="F210" s="32"/>
      <c r="G210" s="32"/>
      <c r="H210" s="32"/>
      <c r="I210" s="32"/>
      <c r="J210" s="32"/>
      <c r="K210" s="32"/>
      <c r="L210" s="32"/>
      <c r="M210" s="32"/>
      <c r="N210" s="32"/>
      <c r="O210" s="32"/>
      <c r="P210" s="32"/>
      <c r="Q210" s="32"/>
    </row>
    <row r="211" spans="1:17" hidden="1" x14ac:dyDescent="0.25">
      <c r="A211" s="32"/>
      <c r="B211" s="32"/>
      <c r="C211" s="32"/>
      <c r="D211" s="32"/>
      <c r="E211" s="32"/>
      <c r="F211" s="32"/>
      <c r="G211" s="32"/>
      <c r="H211" s="32"/>
      <c r="I211" s="32"/>
      <c r="J211" s="32"/>
      <c r="K211" s="32"/>
      <c r="L211" s="32"/>
      <c r="M211" s="32"/>
      <c r="N211" s="32"/>
      <c r="O211" s="32"/>
      <c r="P211" s="32"/>
      <c r="Q211" s="32"/>
    </row>
    <row r="212" spans="1:17" hidden="1" x14ac:dyDescent="0.25">
      <c r="A212" s="32"/>
      <c r="B212" s="32"/>
      <c r="C212" s="32"/>
      <c r="D212" s="32"/>
      <c r="E212" s="32"/>
      <c r="F212" s="32"/>
      <c r="G212" s="32"/>
      <c r="H212" s="32"/>
      <c r="I212" s="32"/>
      <c r="J212" s="32"/>
      <c r="K212" s="32"/>
      <c r="L212" s="32"/>
      <c r="M212" s="32"/>
      <c r="N212" s="32"/>
      <c r="O212" s="32"/>
      <c r="P212" s="32"/>
      <c r="Q212" s="32"/>
    </row>
    <row r="213" spans="1:17" hidden="1" x14ac:dyDescent="0.25">
      <c r="A213" s="32"/>
      <c r="B213" s="32"/>
      <c r="C213" s="32"/>
      <c r="D213" s="32"/>
      <c r="E213" s="32"/>
      <c r="F213" s="32"/>
      <c r="G213" s="32"/>
      <c r="H213" s="32"/>
      <c r="I213" s="32"/>
      <c r="J213" s="32"/>
      <c r="K213" s="32"/>
      <c r="L213" s="32"/>
      <c r="M213" s="32"/>
      <c r="N213" s="32"/>
      <c r="O213" s="32"/>
      <c r="P213" s="32"/>
      <c r="Q213" s="32"/>
    </row>
    <row r="214" spans="1:17" hidden="1" x14ac:dyDescent="0.25">
      <c r="A214" s="32"/>
      <c r="B214" s="32"/>
      <c r="C214" s="32"/>
      <c r="D214" s="32"/>
      <c r="E214" s="32"/>
      <c r="F214" s="32"/>
      <c r="G214" s="32"/>
      <c r="H214" s="32"/>
      <c r="I214" s="32"/>
      <c r="J214" s="32"/>
      <c r="K214" s="32"/>
      <c r="L214" s="32"/>
      <c r="M214" s="32"/>
      <c r="N214" s="32"/>
      <c r="O214" s="32"/>
      <c r="P214" s="32"/>
      <c r="Q214" s="32"/>
    </row>
    <row r="215" spans="1:17" hidden="1" x14ac:dyDescent="0.25">
      <c r="A215" s="32"/>
      <c r="B215" s="32"/>
      <c r="C215" s="32"/>
      <c r="D215" s="32"/>
      <c r="E215" s="32"/>
      <c r="F215" s="32"/>
      <c r="G215" s="32"/>
      <c r="H215" s="32"/>
      <c r="I215" s="32"/>
      <c r="J215" s="32"/>
      <c r="K215" s="32"/>
      <c r="L215" s="32"/>
      <c r="M215" s="32"/>
      <c r="N215" s="32"/>
      <c r="O215" s="32"/>
      <c r="P215" s="32"/>
      <c r="Q215" s="32"/>
    </row>
    <row r="216" spans="1:17" hidden="1" x14ac:dyDescent="0.25">
      <c r="A216" s="32"/>
      <c r="B216" s="32"/>
      <c r="C216" s="32"/>
      <c r="D216" s="32"/>
      <c r="E216" s="32"/>
      <c r="F216" s="32"/>
      <c r="G216" s="32"/>
      <c r="H216" s="32"/>
      <c r="I216" s="32"/>
      <c r="J216" s="32"/>
      <c r="K216" s="32"/>
      <c r="L216" s="32"/>
      <c r="M216" s="32"/>
      <c r="N216" s="32"/>
      <c r="O216" s="32"/>
      <c r="P216" s="32"/>
      <c r="Q216" s="32"/>
    </row>
    <row r="217" spans="1:17" hidden="1" x14ac:dyDescent="0.25">
      <c r="A217" s="32"/>
      <c r="B217" s="32"/>
      <c r="C217" s="32"/>
      <c r="D217" s="32"/>
      <c r="E217" s="32"/>
      <c r="F217" s="32"/>
      <c r="G217" s="32"/>
      <c r="H217" s="32"/>
      <c r="I217" s="32"/>
      <c r="J217" s="32"/>
      <c r="K217" s="32"/>
      <c r="L217" s="32"/>
      <c r="M217" s="32"/>
      <c r="N217" s="32"/>
      <c r="O217" s="32"/>
      <c r="P217" s="32"/>
      <c r="Q217" s="32"/>
    </row>
    <row r="218" spans="1:17" hidden="1" x14ac:dyDescent="0.25">
      <c r="A218" s="32"/>
      <c r="B218" s="32"/>
      <c r="C218" s="32"/>
      <c r="D218" s="32"/>
      <c r="E218" s="32"/>
      <c r="F218" s="32"/>
      <c r="G218" s="32"/>
      <c r="H218" s="32"/>
      <c r="I218" s="32"/>
      <c r="J218" s="32"/>
      <c r="K218" s="32"/>
      <c r="L218" s="32"/>
      <c r="M218" s="32"/>
      <c r="N218" s="32"/>
      <c r="O218" s="32"/>
      <c r="P218" s="32"/>
      <c r="Q218" s="32"/>
    </row>
    <row r="219" spans="1:17" hidden="1" x14ac:dyDescent="0.25">
      <c r="A219" s="32"/>
      <c r="B219" s="32"/>
      <c r="C219" s="32"/>
      <c r="D219" s="32"/>
      <c r="E219" s="32"/>
      <c r="F219" s="32"/>
      <c r="G219" s="32"/>
      <c r="H219" s="32"/>
      <c r="I219" s="32"/>
      <c r="J219" s="32"/>
      <c r="K219" s="32"/>
      <c r="L219" s="32"/>
      <c r="M219" s="32"/>
      <c r="N219" s="32"/>
      <c r="O219" s="32"/>
      <c r="P219" s="32"/>
      <c r="Q219" s="32"/>
    </row>
    <row r="220" spans="1:17" hidden="1" x14ac:dyDescent="0.25">
      <c r="A220" s="32"/>
      <c r="B220" s="32"/>
      <c r="C220" s="32"/>
      <c r="D220" s="32"/>
      <c r="E220" s="32"/>
      <c r="F220" s="32"/>
      <c r="G220" s="32"/>
      <c r="H220" s="32"/>
      <c r="I220" s="32"/>
      <c r="J220" s="32"/>
      <c r="K220" s="32"/>
      <c r="L220" s="32"/>
      <c r="M220" s="32"/>
      <c r="N220" s="32"/>
      <c r="O220" s="32"/>
      <c r="P220" s="32"/>
      <c r="Q220" s="32"/>
    </row>
    <row r="221" spans="1:17" hidden="1" x14ac:dyDescent="0.25">
      <c r="A221" s="32"/>
      <c r="B221" s="32"/>
      <c r="C221" s="32"/>
      <c r="D221" s="32"/>
      <c r="E221" s="32"/>
      <c r="F221" s="32"/>
      <c r="G221" s="32"/>
      <c r="H221" s="32"/>
      <c r="I221" s="32"/>
      <c r="J221" s="32"/>
      <c r="K221" s="32"/>
      <c r="L221" s="32"/>
      <c r="M221" s="32"/>
      <c r="N221" s="32"/>
      <c r="O221" s="32"/>
      <c r="P221" s="32"/>
      <c r="Q221" s="32"/>
    </row>
    <row r="222" spans="1:17" hidden="1" x14ac:dyDescent="0.25">
      <c r="A222" s="32"/>
      <c r="B222" s="32"/>
      <c r="C222" s="32"/>
      <c r="D222" s="32"/>
      <c r="E222" s="32"/>
      <c r="F222" s="32"/>
      <c r="G222" s="32"/>
      <c r="H222" s="32"/>
      <c r="I222" s="32"/>
      <c r="J222" s="32"/>
      <c r="K222" s="32"/>
      <c r="L222" s="32"/>
      <c r="M222" s="32"/>
      <c r="N222" s="32"/>
      <c r="O222" s="32"/>
      <c r="P222" s="32"/>
      <c r="Q222" s="32"/>
    </row>
    <row r="223" spans="1:17" hidden="1" x14ac:dyDescent="0.25">
      <c r="A223" s="32"/>
      <c r="B223" s="32"/>
      <c r="C223" s="32"/>
      <c r="D223" s="32"/>
      <c r="E223" s="32"/>
      <c r="F223" s="32"/>
      <c r="G223" s="32"/>
      <c r="H223" s="32"/>
      <c r="I223" s="32"/>
      <c r="J223" s="32"/>
      <c r="K223" s="32"/>
      <c r="L223" s="32"/>
      <c r="M223" s="32"/>
      <c r="N223" s="32"/>
      <c r="O223" s="32"/>
      <c r="P223" s="32"/>
      <c r="Q223" s="32"/>
    </row>
    <row r="224" spans="1:17" hidden="1" x14ac:dyDescent="0.25">
      <c r="A224" s="32"/>
      <c r="B224" s="32"/>
      <c r="C224" s="32"/>
      <c r="D224" s="32"/>
      <c r="E224" s="32"/>
      <c r="F224" s="32"/>
      <c r="G224" s="32"/>
      <c r="H224" s="32"/>
      <c r="I224" s="32"/>
      <c r="J224" s="32"/>
      <c r="K224" s="32"/>
      <c r="L224" s="32"/>
      <c r="M224" s="32"/>
      <c r="N224" s="32"/>
      <c r="O224" s="32"/>
      <c r="P224" s="32"/>
      <c r="Q224" s="32"/>
    </row>
    <row r="225" spans="1:17" hidden="1" x14ac:dyDescent="0.25">
      <c r="A225" s="32"/>
      <c r="B225" s="32"/>
      <c r="C225" s="32"/>
      <c r="D225" s="32"/>
      <c r="E225" s="32"/>
      <c r="F225" s="32"/>
      <c r="G225" s="32"/>
      <c r="H225" s="32"/>
      <c r="I225" s="32"/>
      <c r="J225" s="32"/>
      <c r="K225" s="32"/>
      <c r="L225" s="32"/>
      <c r="M225" s="32"/>
      <c r="N225" s="32"/>
      <c r="O225" s="32"/>
      <c r="P225" s="32"/>
      <c r="Q225" s="32"/>
    </row>
    <row r="226" spans="1:17" hidden="1" x14ac:dyDescent="0.25">
      <c r="A226" s="32"/>
      <c r="B226" s="32"/>
      <c r="C226" s="32"/>
      <c r="D226" s="32"/>
      <c r="E226" s="32"/>
      <c r="F226" s="32"/>
      <c r="H226" s="32"/>
      <c r="I226" s="32"/>
      <c r="J226" s="32"/>
      <c r="K226" s="32"/>
      <c r="L226" s="32"/>
      <c r="M226" s="32"/>
      <c r="N226" s="32"/>
      <c r="O226" s="32"/>
      <c r="P226" s="32"/>
      <c r="Q226" s="32"/>
    </row>
    <row r="227" spans="1:17" hidden="1" x14ac:dyDescent="0.25">
      <c r="A227" s="32"/>
      <c r="B227" s="32"/>
      <c r="C227" s="32"/>
      <c r="D227" s="32"/>
      <c r="E227" s="32"/>
      <c r="F227" s="32"/>
      <c r="H227" s="32"/>
      <c r="I227" s="32"/>
      <c r="J227" s="32"/>
      <c r="K227" s="32"/>
      <c r="L227" s="32"/>
      <c r="M227" s="32"/>
      <c r="N227" s="32"/>
      <c r="O227" s="32"/>
      <c r="P227" s="32"/>
      <c r="Q227" s="32"/>
    </row>
    <row r="228" spans="1:17" hidden="1" x14ac:dyDescent="0.25">
      <c r="A228" s="32"/>
      <c r="B228" s="32"/>
      <c r="C228" s="32"/>
      <c r="D228" s="32"/>
      <c r="E228" s="32"/>
      <c r="F228" s="32"/>
      <c r="H228" s="32"/>
      <c r="I228" s="32"/>
      <c r="J228" s="32"/>
      <c r="K228" s="32"/>
      <c r="L228" s="32"/>
      <c r="M228" s="32"/>
      <c r="N228" s="32"/>
      <c r="O228" s="32"/>
      <c r="P228" s="32"/>
      <c r="Q228" s="32"/>
    </row>
    <row r="229" spans="1:17" hidden="1" x14ac:dyDescent="0.25">
      <c r="A229" s="32"/>
      <c r="B229" s="32"/>
      <c r="C229" s="32"/>
      <c r="D229" s="32"/>
      <c r="E229" s="32"/>
      <c r="F229" s="32"/>
      <c r="H229" s="32"/>
      <c r="I229" s="32"/>
      <c r="J229" s="32"/>
      <c r="K229" s="32"/>
      <c r="L229" s="32"/>
      <c r="M229" s="32"/>
      <c r="N229" s="32"/>
      <c r="O229" s="32"/>
      <c r="P229" s="32"/>
      <c r="Q229" s="32"/>
    </row>
    <row r="230" spans="1:17" hidden="1" x14ac:dyDescent="0.25">
      <c r="A230" s="32"/>
      <c r="B230" s="32"/>
      <c r="C230" s="32"/>
      <c r="D230" s="32"/>
      <c r="E230" s="32"/>
      <c r="F230" s="32"/>
      <c r="H230" s="32"/>
      <c r="I230" s="32"/>
      <c r="J230" s="32"/>
      <c r="K230" s="32"/>
      <c r="L230" s="32"/>
      <c r="M230" s="32"/>
      <c r="N230" s="32"/>
      <c r="O230" s="32"/>
      <c r="P230" s="32"/>
      <c r="Q230" s="32"/>
    </row>
    <row r="231" spans="1:17" hidden="1" x14ac:dyDescent="0.25">
      <c r="A231" s="32"/>
      <c r="B231" s="32"/>
      <c r="C231" s="32"/>
      <c r="D231" s="32"/>
      <c r="E231" s="32"/>
      <c r="F231" s="32"/>
      <c r="H231" s="32"/>
      <c r="I231" s="32"/>
      <c r="J231" s="32"/>
      <c r="K231" s="32"/>
      <c r="L231" s="32"/>
      <c r="M231" s="32"/>
      <c r="N231" s="32"/>
      <c r="O231" s="32"/>
      <c r="P231" s="32"/>
      <c r="Q231" s="32"/>
    </row>
    <row r="232" spans="1:17" hidden="1" x14ac:dyDescent="0.25">
      <c r="A232" s="32"/>
      <c r="B232" s="32"/>
      <c r="C232" s="32"/>
      <c r="D232" s="32"/>
      <c r="E232" s="32"/>
      <c r="F232" s="32"/>
      <c r="H232" s="32"/>
      <c r="I232" s="32"/>
      <c r="J232" s="32"/>
      <c r="K232" s="32"/>
      <c r="L232" s="32"/>
      <c r="M232" s="32"/>
      <c r="N232" s="32"/>
      <c r="O232" s="32"/>
      <c r="P232" s="32"/>
      <c r="Q232" s="32"/>
    </row>
    <row r="233" spans="1:17" hidden="1" x14ac:dyDescent="0.25">
      <c r="A233" s="32"/>
      <c r="B233" s="32"/>
      <c r="C233" s="32"/>
      <c r="D233" s="32"/>
      <c r="E233" s="32"/>
      <c r="F233" s="32"/>
      <c r="H233" s="32"/>
      <c r="I233" s="32"/>
      <c r="J233" s="32"/>
      <c r="K233" s="32"/>
      <c r="L233" s="32"/>
      <c r="M233" s="32"/>
      <c r="N233" s="32"/>
      <c r="O233" s="32"/>
      <c r="P233" s="32"/>
      <c r="Q233" s="32"/>
    </row>
    <row r="234" spans="1:17" hidden="1" x14ac:dyDescent="0.25">
      <c r="A234" s="32"/>
      <c r="B234" s="32"/>
      <c r="C234" s="32"/>
      <c r="D234" s="32"/>
      <c r="E234" s="32"/>
      <c r="F234" s="32"/>
      <c r="H234" s="32"/>
      <c r="I234" s="32"/>
      <c r="J234" s="32"/>
      <c r="K234" s="32"/>
      <c r="L234" s="32"/>
      <c r="M234" s="32"/>
      <c r="N234" s="32"/>
      <c r="O234" s="32"/>
      <c r="P234" s="32"/>
      <c r="Q234" s="32"/>
    </row>
    <row r="235" spans="1:17" hidden="1" x14ac:dyDescent="0.25">
      <c r="A235" s="32"/>
      <c r="B235" s="32"/>
      <c r="C235" s="32"/>
      <c r="D235" s="32"/>
      <c r="E235" s="32"/>
      <c r="F235" s="32"/>
      <c r="H235" s="32"/>
      <c r="I235" s="32"/>
      <c r="J235" s="32"/>
      <c r="K235" s="32"/>
      <c r="L235" s="32"/>
      <c r="M235" s="32"/>
      <c r="N235" s="32"/>
      <c r="O235" s="32"/>
      <c r="P235" s="32"/>
      <c r="Q235" s="32"/>
    </row>
    <row r="236" spans="1:17" hidden="1" x14ac:dyDescent="0.25">
      <c r="A236" s="32"/>
      <c r="B236" s="32"/>
      <c r="C236" s="32"/>
      <c r="D236" s="32"/>
      <c r="E236" s="32"/>
      <c r="F236" s="32"/>
      <c r="H236" s="32"/>
      <c r="I236" s="32"/>
      <c r="J236" s="32"/>
      <c r="K236" s="32"/>
      <c r="L236" s="32"/>
      <c r="M236" s="32"/>
      <c r="N236" s="32"/>
      <c r="O236" s="32"/>
      <c r="P236" s="32"/>
      <c r="Q236" s="32"/>
    </row>
    <row r="237" spans="1:17" hidden="1" x14ac:dyDescent="0.25">
      <c r="A237" s="32"/>
      <c r="B237" s="32"/>
      <c r="C237" s="32"/>
      <c r="D237" s="32"/>
      <c r="E237" s="32"/>
      <c r="F237" s="32"/>
      <c r="H237" s="32"/>
      <c r="I237" s="32"/>
      <c r="J237" s="32"/>
      <c r="K237" s="32"/>
      <c r="L237" s="32"/>
      <c r="M237" s="32"/>
      <c r="N237" s="32"/>
      <c r="O237" s="32"/>
      <c r="P237" s="32"/>
      <c r="Q237" s="32"/>
    </row>
    <row r="238" spans="1:17" hidden="1" x14ac:dyDescent="0.25">
      <c r="A238" s="32"/>
      <c r="B238" s="32"/>
      <c r="C238" s="32"/>
      <c r="D238" s="32"/>
      <c r="E238" s="32"/>
      <c r="F238" s="32"/>
      <c r="H238" s="32"/>
      <c r="I238" s="32"/>
      <c r="J238" s="32"/>
      <c r="K238" s="32"/>
      <c r="L238" s="32"/>
      <c r="M238" s="32"/>
      <c r="N238" s="32"/>
      <c r="O238" s="32"/>
      <c r="P238" s="32"/>
      <c r="Q238" s="32"/>
    </row>
    <row r="239" spans="1:17" hidden="1" x14ac:dyDescent="0.25">
      <c r="A239" s="32"/>
      <c r="B239" s="32"/>
      <c r="C239" s="32"/>
      <c r="D239" s="32"/>
      <c r="E239" s="32"/>
      <c r="F239" s="32"/>
      <c r="H239" s="32"/>
      <c r="I239" s="32"/>
      <c r="J239" s="32"/>
      <c r="K239" s="32"/>
      <c r="L239" s="32"/>
      <c r="M239" s="32"/>
      <c r="N239" s="32"/>
      <c r="O239" s="32"/>
      <c r="P239" s="32"/>
      <c r="Q239" s="32"/>
    </row>
    <row r="240" spans="1:17" hidden="1" x14ac:dyDescent="0.25">
      <c r="A240" s="32"/>
      <c r="B240" s="32"/>
      <c r="C240" s="32"/>
      <c r="D240" s="32"/>
      <c r="E240" s="32"/>
      <c r="F240" s="32"/>
      <c r="H240" s="32"/>
      <c r="I240" s="32"/>
      <c r="J240" s="32"/>
      <c r="K240" s="32"/>
      <c r="L240" s="32"/>
      <c r="M240" s="32"/>
      <c r="N240" s="32"/>
      <c r="O240" s="32"/>
      <c r="P240" s="32"/>
      <c r="Q240" s="32"/>
    </row>
    <row r="241" spans="1:17" hidden="1" x14ac:dyDescent="0.25">
      <c r="A241" s="32"/>
      <c r="B241" s="32"/>
      <c r="C241" s="32"/>
      <c r="D241" s="32"/>
      <c r="E241" s="32"/>
      <c r="F241" s="32"/>
      <c r="H241" s="32"/>
      <c r="I241" s="32"/>
      <c r="J241" s="32"/>
      <c r="K241" s="32"/>
      <c r="L241" s="32"/>
      <c r="M241" s="32"/>
      <c r="N241" s="32"/>
      <c r="O241" s="32"/>
      <c r="P241" s="32"/>
      <c r="Q241" s="32"/>
    </row>
    <row r="242" spans="1:17" hidden="1" x14ac:dyDescent="0.25">
      <c r="A242" s="32"/>
      <c r="B242" s="32"/>
      <c r="C242" s="32"/>
      <c r="D242" s="32"/>
      <c r="E242" s="32"/>
      <c r="F242" s="32"/>
      <c r="H242" s="32"/>
      <c r="I242" s="32"/>
      <c r="J242" s="32"/>
      <c r="K242" s="32"/>
      <c r="L242" s="32"/>
      <c r="M242" s="32"/>
      <c r="N242" s="32"/>
      <c r="O242" s="32"/>
      <c r="P242" s="32"/>
      <c r="Q242" s="32"/>
    </row>
    <row r="243" spans="1:17" hidden="1" x14ac:dyDescent="0.25">
      <c r="A243" s="32"/>
      <c r="B243" s="32"/>
      <c r="C243" s="32"/>
      <c r="D243" s="32"/>
      <c r="E243" s="32"/>
      <c r="F243" s="32"/>
      <c r="H243" s="32"/>
      <c r="I243" s="32"/>
      <c r="J243" s="32"/>
      <c r="K243" s="32"/>
      <c r="L243" s="32"/>
      <c r="M243" s="32"/>
      <c r="N243" s="32"/>
      <c r="O243" s="32"/>
      <c r="P243" s="32"/>
      <c r="Q243" s="32"/>
    </row>
    <row r="244" spans="1:17" hidden="1" x14ac:dyDescent="0.25">
      <c r="A244" s="32"/>
      <c r="B244" s="32"/>
      <c r="C244" s="32"/>
      <c r="D244" s="32"/>
      <c r="E244" s="32"/>
      <c r="F244" s="32"/>
      <c r="H244" s="32"/>
      <c r="I244" s="32"/>
      <c r="J244" s="32"/>
      <c r="K244" s="32"/>
      <c r="L244" s="32"/>
      <c r="M244" s="32"/>
      <c r="N244" s="32"/>
      <c r="O244" s="32"/>
      <c r="P244" s="32"/>
      <c r="Q244" s="32"/>
    </row>
    <row r="245" spans="1:17" hidden="1" x14ac:dyDescent="0.25">
      <c r="A245" s="32"/>
      <c r="B245" s="32"/>
      <c r="C245" s="32"/>
      <c r="D245" s="32"/>
      <c r="E245" s="32"/>
      <c r="F245" s="32"/>
      <c r="H245" s="32"/>
      <c r="I245" s="32"/>
      <c r="J245" s="32"/>
      <c r="K245" s="32"/>
      <c r="L245" s="32"/>
      <c r="M245" s="32"/>
      <c r="N245" s="32"/>
      <c r="O245" s="32"/>
      <c r="P245" s="32"/>
      <c r="Q245" s="32"/>
    </row>
    <row r="246" spans="1:17" hidden="1" x14ac:dyDescent="0.25">
      <c r="A246" s="32"/>
      <c r="B246" s="32"/>
      <c r="C246" s="32"/>
      <c r="D246" s="32"/>
      <c r="E246" s="32"/>
      <c r="F246" s="32"/>
      <c r="H246" s="32"/>
      <c r="I246" s="32"/>
      <c r="J246" s="32"/>
      <c r="K246" s="32"/>
      <c r="L246" s="32"/>
      <c r="M246" s="32"/>
      <c r="N246" s="32"/>
      <c r="O246" s="32"/>
      <c r="P246" s="32"/>
      <c r="Q246" s="32"/>
    </row>
    <row r="247" spans="1:17" hidden="1" x14ac:dyDescent="0.25">
      <c r="A247" s="32"/>
      <c r="B247" s="32"/>
      <c r="C247" s="32"/>
      <c r="D247" s="32"/>
      <c r="E247" s="32"/>
      <c r="F247" s="32"/>
      <c r="H247" s="32"/>
      <c r="I247" s="32"/>
      <c r="J247" s="32"/>
      <c r="K247" s="32"/>
      <c r="L247" s="32"/>
      <c r="M247" s="32"/>
      <c r="N247" s="32"/>
      <c r="O247" s="32"/>
      <c r="P247" s="32"/>
      <c r="Q247" s="32"/>
    </row>
    <row r="248" spans="1:17" hidden="1" x14ac:dyDescent="0.25">
      <c r="A248" s="32"/>
      <c r="B248" s="32"/>
      <c r="C248" s="32"/>
      <c r="D248" s="32"/>
      <c r="E248" s="32"/>
      <c r="F248" s="32"/>
      <c r="H248" s="32"/>
      <c r="I248" s="32"/>
      <c r="J248" s="32"/>
      <c r="K248" s="32"/>
      <c r="L248" s="32"/>
      <c r="M248" s="32"/>
      <c r="N248" s="32"/>
      <c r="O248" s="32"/>
      <c r="P248" s="32"/>
      <c r="Q248" s="32"/>
    </row>
    <row r="249" spans="1:17" hidden="1" x14ac:dyDescent="0.25">
      <c r="A249" s="32"/>
      <c r="B249" s="32"/>
      <c r="C249" s="32"/>
      <c r="D249" s="32"/>
      <c r="E249" s="32"/>
      <c r="F249" s="32"/>
      <c r="H249" s="32"/>
      <c r="I249" s="32"/>
      <c r="J249" s="32"/>
      <c r="K249" s="32"/>
      <c r="L249" s="32"/>
      <c r="M249" s="32"/>
      <c r="N249" s="32"/>
      <c r="O249" s="32"/>
      <c r="P249" s="32"/>
      <c r="Q249" s="32"/>
    </row>
    <row r="250" spans="1:17" hidden="1" x14ac:dyDescent="0.25">
      <c r="A250" s="32"/>
      <c r="B250" s="32"/>
      <c r="C250" s="32"/>
      <c r="D250" s="32"/>
      <c r="E250" s="32"/>
      <c r="F250" s="32"/>
      <c r="H250" s="32"/>
      <c r="K250" s="32"/>
      <c r="L250" s="32"/>
      <c r="M250" s="32"/>
      <c r="N250" s="32"/>
      <c r="O250" s="32"/>
      <c r="P250" s="32"/>
      <c r="Q250" s="32"/>
    </row>
    <row r="251" spans="1:17" hidden="1" x14ac:dyDescent="0.25">
      <c r="A251" s="32"/>
      <c r="B251" s="32"/>
      <c r="C251" s="32"/>
      <c r="D251" s="32"/>
      <c r="E251" s="32"/>
      <c r="F251" s="32"/>
      <c r="H251" s="32"/>
      <c r="K251" s="32"/>
      <c r="L251" s="32"/>
      <c r="M251" s="32"/>
      <c r="N251" s="32"/>
      <c r="O251" s="32"/>
      <c r="P251" s="32"/>
      <c r="Q251" s="32"/>
    </row>
    <row r="252" spans="1:17" hidden="1" x14ac:dyDescent="0.25">
      <c r="A252" s="32"/>
      <c r="B252" s="32"/>
      <c r="C252" s="32"/>
      <c r="D252" s="32"/>
      <c r="E252" s="32"/>
      <c r="F252" s="32"/>
      <c r="H252" s="32"/>
      <c r="K252" s="32"/>
      <c r="L252" s="32"/>
      <c r="M252" s="32"/>
      <c r="N252" s="32"/>
      <c r="O252" s="32"/>
      <c r="P252" s="32"/>
      <c r="Q252" s="32"/>
    </row>
    <row r="253" spans="1:17" hidden="1" x14ac:dyDescent="0.25">
      <c r="A253" s="32"/>
      <c r="B253" s="32"/>
      <c r="C253" s="32"/>
      <c r="D253" s="32"/>
      <c r="E253" s="32"/>
      <c r="F253" s="32"/>
      <c r="H253" s="32"/>
      <c r="K253" s="32"/>
      <c r="L253" s="32"/>
      <c r="M253" s="32"/>
      <c r="N253" s="32"/>
      <c r="O253" s="32"/>
      <c r="P253" s="32"/>
      <c r="Q253" s="32"/>
    </row>
    <row r="254" spans="1:17" hidden="1" x14ac:dyDescent="0.25">
      <c r="A254" s="32"/>
      <c r="B254" s="32"/>
      <c r="C254" s="32"/>
      <c r="D254" s="32"/>
      <c r="E254" s="32"/>
      <c r="F254" s="32"/>
      <c r="H254" s="32"/>
      <c r="K254" s="32"/>
      <c r="L254" s="32"/>
      <c r="M254" s="32"/>
      <c r="N254" s="32"/>
      <c r="O254" s="32"/>
      <c r="P254" s="32"/>
      <c r="Q254" s="32"/>
    </row>
    <row r="255" spans="1:17" hidden="1" x14ac:dyDescent="0.25">
      <c r="A255" s="32"/>
      <c r="B255" s="32"/>
      <c r="C255" s="32"/>
      <c r="D255" s="32"/>
      <c r="E255" s="32"/>
      <c r="F255" s="32"/>
      <c r="H255" s="32"/>
      <c r="K255" s="32"/>
      <c r="L255" s="32"/>
      <c r="M255" s="32"/>
      <c r="N255" s="32"/>
      <c r="O255" s="32"/>
      <c r="P255" s="32"/>
      <c r="Q255" s="32"/>
    </row>
    <row r="256" spans="1:17" hidden="1" x14ac:dyDescent="0.25">
      <c r="A256" s="32"/>
      <c r="B256" s="32"/>
      <c r="C256" s="32"/>
      <c r="D256" s="32"/>
      <c r="E256" s="32"/>
      <c r="F256" s="32"/>
      <c r="H256" s="32"/>
      <c r="K256" s="32"/>
      <c r="L256" s="32"/>
      <c r="M256" s="32"/>
      <c r="N256" s="32"/>
      <c r="O256" s="32"/>
      <c r="P256" s="32"/>
      <c r="Q256" s="32"/>
    </row>
    <row r="257" spans="1:17" hidden="1" x14ac:dyDescent="0.25">
      <c r="A257" s="32"/>
      <c r="B257" s="32"/>
      <c r="C257" s="32"/>
      <c r="D257" s="32"/>
      <c r="E257" s="32"/>
      <c r="F257" s="32"/>
      <c r="H257" s="32"/>
      <c r="K257" s="32"/>
      <c r="L257" s="32"/>
      <c r="M257" s="32"/>
      <c r="N257" s="32"/>
      <c r="O257" s="32"/>
      <c r="P257" s="32"/>
      <c r="Q257" s="32"/>
    </row>
    <row r="258" spans="1:17" hidden="1" x14ac:dyDescent="0.25">
      <c r="A258" s="32"/>
      <c r="B258" s="32"/>
      <c r="C258" s="32"/>
      <c r="D258" s="32"/>
      <c r="E258" s="32"/>
      <c r="F258" s="32"/>
      <c r="H258" s="32"/>
      <c r="K258" s="32"/>
      <c r="L258" s="32"/>
      <c r="M258" s="32"/>
      <c r="N258" s="32"/>
      <c r="O258" s="32"/>
      <c r="P258" s="32"/>
      <c r="Q258" s="32"/>
    </row>
    <row r="259" spans="1:17" hidden="1" x14ac:dyDescent="0.25">
      <c r="A259" s="32"/>
      <c r="B259" s="32"/>
      <c r="C259" s="32"/>
      <c r="D259" s="32"/>
      <c r="E259" s="32"/>
      <c r="F259" s="32"/>
      <c r="H259" s="32"/>
      <c r="K259" s="32"/>
      <c r="L259" s="32"/>
      <c r="M259" s="32"/>
      <c r="N259" s="32"/>
      <c r="O259" s="32"/>
      <c r="P259" s="32"/>
      <c r="Q259" s="32"/>
    </row>
    <row r="260" spans="1:17" hidden="1" x14ac:dyDescent="0.25">
      <c r="A260" s="32"/>
      <c r="B260" s="32"/>
      <c r="C260" s="32"/>
      <c r="D260" s="32"/>
      <c r="E260" s="32"/>
      <c r="F260" s="32"/>
      <c r="H260" s="32"/>
      <c r="K260" s="32"/>
      <c r="L260" s="32"/>
      <c r="M260" s="32"/>
      <c r="N260" s="32"/>
      <c r="O260" s="32"/>
      <c r="P260" s="32"/>
      <c r="Q260" s="32"/>
    </row>
    <row r="261" spans="1:17" hidden="1" x14ac:dyDescent="0.25">
      <c r="A261" s="32"/>
      <c r="B261" s="32"/>
      <c r="C261" s="32"/>
      <c r="D261" s="32"/>
      <c r="E261" s="32"/>
      <c r="F261" s="32"/>
      <c r="H261" s="32"/>
      <c r="K261" s="32"/>
      <c r="L261" s="32"/>
      <c r="M261" s="32"/>
      <c r="N261" s="32"/>
      <c r="O261" s="32"/>
      <c r="P261" s="32"/>
      <c r="Q261" s="32"/>
    </row>
    <row r="262" spans="1:17" hidden="1" x14ac:dyDescent="0.25">
      <c r="A262" s="32"/>
      <c r="B262" s="32"/>
      <c r="C262" s="32"/>
      <c r="D262" s="32"/>
      <c r="E262" s="32"/>
      <c r="F262" s="32"/>
      <c r="H262" s="32"/>
      <c r="K262" s="32"/>
      <c r="L262" s="32"/>
      <c r="M262" s="32"/>
      <c r="N262" s="32"/>
      <c r="O262" s="32"/>
      <c r="P262" s="32"/>
      <c r="Q262" s="32"/>
    </row>
    <row r="263" spans="1:17" hidden="1" x14ac:dyDescent="0.25">
      <c r="A263" s="32"/>
    </row>
    <row r="264" spans="1:17" hidden="1" x14ac:dyDescent="0.25">
      <c r="A264" s="32"/>
    </row>
    <row r="265" spans="1:17" hidden="1" x14ac:dyDescent="0.25">
      <c r="A265" s="32"/>
    </row>
    <row r="266" spans="1:17" hidden="1" x14ac:dyDescent="0.25">
      <c r="A266" s="32"/>
    </row>
    <row r="267" spans="1:17" hidden="1" x14ac:dyDescent="0.25">
      <c r="A267" s="32"/>
    </row>
    <row r="268" spans="1:17" hidden="1" x14ac:dyDescent="0.25">
      <c r="A268" s="32"/>
    </row>
    <row r="269" spans="1:17" hidden="1" x14ac:dyDescent="0.25">
      <c r="A269" s="32"/>
    </row>
    <row r="270" spans="1:17" hidden="1" x14ac:dyDescent="0.25">
      <c r="A270" s="32"/>
    </row>
    <row r="271" spans="1:17" hidden="1" x14ac:dyDescent="0.25">
      <c r="A271" s="32"/>
    </row>
    <row r="272" spans="1:17" hidden="1" x14ac:dyDescent="0.25">
      <c r="A272" s="32"/>
    </row>
    <row r="273" spans="1:1" hidden="1" x14ac:dyDescent="0.25">
      <c r="A273" s="32"/>
    </row>
    <row r="274" spans="1:1" hidden="1" x14ac:dyDescent="0.25">
      <c r="A274" s="32"/>
    </row>
    <row r="275" spans="1:1" hidden="1" x14ac:dyDescent="0.25">
      <c r="A275" s="32"/>
    </row>
    <row r="276" spans="1:1" hidden="1" x14ac:dyDescent="0.25">
      <c r="A276" s="32"/>
    </row>
    <row r="277" spans="1:1" hidden="1" x14ac:dyDescent="0.25">
      <c r="A277" s="32"/>
    </row>
    <row r="278" spans="1:1" hidden="1" x14ac:dyDescent="0.25">
      <c r="A278" s="32"/>
    </row>
    <row r="279" spans="1:1" hidden="1" x14ac:dyDescent="0.25">
      <c r="A279" s="32"/>
    </row>
    <row r="280" spans="1:1" hidden="1" x14ac:dyDescent="0.25">
      <c r="A280" s="32"/>
    </row>
    <row r="281" spans="1:1" hidden="1" x14ac:dyDescent="0.25">
      <c r="A281" s="32"/>
    </row>
    <row r="282" spans="1:1" hidden="1" x14ac:dyDescent="0.25">
      <c r="A282" s="32"/>
    </row>
    <row r="283" spans="1:1" hidden="1" x14ac:dyDescent="0.25">
      <c r="A283" s="32"/>
    </row>
    <row r="284" spans="1:1" hidden="1" x14ac:dyDescent="0.25">
      <c r="A284" s="32"/>
    </row>
    <row r="285" spans="1:1" hidden="1" x14ac:dyDescent="0.25">
      <c r="A285" s="32"/>
    </row>
    <row r="286" spans="1:1" hidden="1" x14ac:dyDescent="0.25">
      <c r="A286" s="32"/>
    </row>
    <row r="287" spans="1:1" hidden="1" x14ac:dyDescent="0.25">
      <c r="A287" s="32"/>
    </row>
    <row r="288" spans="1:1" hidden="1" x14ac:dyDescent="0.25">
      <c r="A288" s="32"/>
    </row>
    <row r="289" spans="1:1" hidden="1" x14ac:dyDescent="0.25">
      <c r="A289" s="32"/>
    </row>
    <row r="290" spans="1:1" hidden="1" x14ac:dyDescent="0.25">
      <c r="A290" s="32"/>
    </row>
    <row r="291" spans="1:1" hidden="1" x14ac:dyDescent="0.25">
      <c r="A291" s="32"/>
    </row>
    <row r="292" spans="1:1" hidden="1" x14ac:dyDescent="0.25">
      <c r="A292" s="32"/>
    </row>
    <row r="293" spans="1:1" hidden="1" x14ac:dyDescent="0.25">
      <c r="A293" s="32"/>
    </row>
    <row r="294" spans="1:1" hidden="1" x14ac:dyDescent="0.25">
      <c r="A294" s="32"/>
    </row>
    <row r="295" spans="1:1" hidden="1" x14ac:dyDescent="0.25">
      <c r="A295" s="32"/>
    </row>
    <row r="296" spans="1:1" hidden="1" x14ac:dyDescent="0.25">
      <c r="A296" s="32"/>
    </row>
    <row r="297" spans="1:1" hidden="1" x14ac:dyDescent="0.25">
      <c r="A297" s="32"/>
    </row>
    <row r="298" spans="1:1" hidden="1" x14ac:dyDescent="0.25">
      <c r="A298" s="32"/>
    </row>
    <row r="299" spans="1:1" hidden="1" x14ac:dyDescent="0.25">
      <c r="A299" s="32"/>
    </row>
    <row r="300" spans="1:1" hidden="1" x14ac:dyDescent="0.25">
      <c r="A300" s="32"/>
    </row>
    <row r="301" spans="1:1" hidden="1" x14ac:dyDescent="0.25">
      <c r="A301" s="32"/>
    </row>
    <row r="302" spans="1:1" hidden="1" x14ac:dyDescent="0.25">
      <c r="A302" s="32"/>
    </row>
    <row r="303" spans="1:1" x14ac:dyDescent="0.25"/>
    <row r="304" spans="1:1" x14ac:dyDescent="0.25"/>
    <row r="305" x14ac:dyDescent="0.25"/>
    <row r="306" x14ac:dyDescent="0.25"/>
    <row r="307" x14ac:dyDescent="0.25"/>
    <row r="308" x14ac:dyDescent="0.25"/>
    <row r="309" x14ac:dyDescent="0.25"/>
    <row r="310" x14ac:dyDescent="0.25"/>
  </sheetData>
  <sheetProtection algorithmName="SHA-512" hashValue="pFpSzyiCjAQeA+iy9hNMMQqfnQvPClTjCcdqwbEpHiPrCEaobAnhgjrZLs3CUxOy7R89MqaL/XGgv142Z9vXAQ==" saltValue="gaQmU1dSEvjwa+bXdJLLxQ==" spinCount="100000" sheet="1" objects="1" scenarios="1"/>
  <customSheetViews>
    <customSheetView guid="{8BDA793C-C9C5-4FC6-A0A5-F1109F6D4F22}" state="hidden" topLeftCell="A81">
      <selection activeCell="D14" sqref="D14"/>
    </customSheetView>
  </customSheetViews>
  <mergeCells count="25">
    <mergeCell ref="C6:F6"/>
    <mergeCell ref="C7:F7"/>
    <mergeCell ref="C8:F8"/>
    <mergeCell ref="B39:G39"/>
    <mergeCell ref="B11:G11"/>
    <mergeCell ref="B2:G2"/>
    <mergeCell ref="G3:G4"/>
    <mergeCell ref="B3:B4"/>
    <mergeCell ref="C3:F4"/>
    <mergeCell ref="C5:F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s>
  <conditionalFormatting sqref="B13:G32">
    <cfRule type="expression" dxfId="609" priority="7">
      <formula>$F13&gt;0</formula>
    </cfRule>
    <cfRule type="expression" dxfId="608" priority="8">
      <formula>$F13&lt;0</formula>
    </cfRule>
  </conditionalFormatting>
  <conditionalFormatting sqref="B41:G82 B89:F115 B125:F162">
    <cfRule type="expression" dxfId="607" priority="15">
      <formula>$F41&gt;0</formula>
    </cfRule>
    <cfRule type="expression" dxfId="606" priority="16">
      <formula>$F41&lt;0</formula>
    </cfRule>
  </conditionalFormatting>
  <conditionalFormatting sqref="G5:G8">
    <cfRule type="containsText" dxfId="605" priority="64" operator="containsText" text="Yes">
      <formula>NOT(ISERROR(SEARCH("Yes",G5)))</formula>
    </cfRule>
    <cfRule type="containsText" dxfId="604" priority="65" operator="containsText" text="No">
      <formula>NOT(ISERROR(SEARCH("No",G5)))</formula>
    </cfRule>
  </conditionalFormatting>
  <conditionalFormatting sqref="G89:G106 G108">
    <cfRule type="expression" dxfId="603" priority="3">
      <formula>$G89&gt;0</formula>
    </cfRule>
    <cfRule type="expression" dxfId="602" priority="4">
      <formula>$G89&lt;0</formula>
    </cfRule>
  </conditionalFormatting>
  <conditionalFormatting sqref="G110:G115">
    <cfRule type="expression" dxfId="601" priority="13">
      <formula>$G110&gt;0</formula>
    </cfRule>
    <cfRule type="expression" dxfId="600" priority="14">
      <formula>$G110&lt;0</formula>
    </cfRule>
  </conditionalFormatting>
  <conditionalFormatting sqref="H3">
    <cfRule type="cellIs" dxfId="599" priority="94" operator="equal">
      <formula>"Check Proposed Habitat Trading"</formula>
    </cfRule>
    <cfRule type="cellIs" dxfId="598" priority="95" operator="equal">
      <formula>"Overall Trading Acceptable"</formula>
    </cfRule>
  </conditionalFormatting>
  <conditionalFormatting sqref="I13:J13">
    <cfRule type="containsText" dxfId="597" priority="6" operator="containsText" text="Very high distinctiveness unit defecit - CHECK DATA">
      <formula>NOT(ISERROR(SEARCH("Very high distinctiveness unit defecit - CHECK DATA",I13)))</formula>
    </cfRule>
  </conditionalFormatting>
  <conditionalFormatting sqref="J12">
    <cfRule type="cellIs" dxfId="596" priority="67" operator="greaterThan">
      <formula>0</formula>
    </cfRule>
    <cfRule type="cellIs" dxfId="595" priority="68" operator="lessThan">
      <formula>0</formula>
    </cfRule>
  </conditionalFormatting>
  <conditionalFormatting sqref="J40:J41">
    <cfRule type="cellIs" dxfId="594" priority="60" operator="greaterThan">
      <formula>0</formula>
    </cfRule>
    <cfRule type="cellIs" dxfId="593" priority="62" operator="lessThan">
      <formula>0</formula>
    </cfRule>
  </conditionalFormatting>
  <conditionalFormatting sqref="J88 J90:J91 J125:J126">
    <cfRule type="cellIs" dxfId="592" priority="35" operator="greaterThan">
      <formula>0</formula>
    </cfRule>
  </conditionalFormatting>
  <conditionalFormatting sqref="J88:J91">
    <cfRule type="cellIs" dxfId="591" priority="31" operator="lessThan">
      <formula>0</formula>
    </cfRule>
  </conditionalFormatting>
  <conditionalFormatting sqref="J125:J126">
    <cfRule type="cellIs" dxfId="59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election activeCell="B1" sqref="B1"/>
    </sheetView>
  </sheetViews>
  <sheetFormatPr defaultColWidth="0" defaultRowHeight="0" customHeight="1" zeroHeight="1" x14ac:dyDescent="0.25"/>
  <cols>
    <col min="1" max="1" width="17" style="30" customWidth="1"/>
    <col min="2" max="2" width="104.77734375" style="30" bestFit="1" customWidth="1"/>
    <col min="3" max="3" width="24.44140625" style="30" bestFit="1" customWidth="1"/>
    <col min="4" max="4" width="12.77734375" style="30" customWidth="1"/>
    <col min="5" max="5" width="12.44140625" style="30" customWidth="1"/>
    <col min="6" max="6" width="18.21875" style="30" customWidth="1"/>
    <col min="7" max="7" width="31" style="30" customWidth="1"/>
    <col min="8" max="8" width="27.77734375" style="30" customWidth="1"/>
    <col min="9" max="9" width="49.44140625" style="30" customWidth="1"/>
    <col min="10" max="10" width="10.77734375" style="30" customWidth="1"/>
    <col min="11" max="11" width="2" style="30" customWidth="1"/>
    <col min="12" max="12" width="2.5546875" style="30" customWidth="1"/>
    <col min="13" max="13" width="4.21875" style="30" customWidth="1"/>
    <col min="14" max="16" width="9.21875" style="30" customWidth="1"/>
    <col min="17" max="17" width="10.5546875" style="30" customWidth="1"/>
    <col min="18" max="20" width="9.21875" style="30" customWidth="1"/>
    <col min="21" max="22" width="0" style="30" hidden="1" customWidth="1"/>
    <col min="23" max="16384" width="9.218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28" t="s">
        <v>207</v>
      </c>
      <c r="C2" s="1329"/>
      <c r="D2" s="1329"/>
      <c r="E2" s="1329"/>
      <c r="F2" s="1329"/>
      <c r="G2" s="1329"/>
      <c r="H2" s="1330"/>
      <c r="I2" s="32"/>
      <c r="J2" s="32"/>
      <c r="K2" s="32"/>
      <c r="L2" s="32"/>
      <c r="M2" s="32"/>
      <c r="N2" s="32"/>
      <c r="O2" s="32"/>
      <c r="P2" s="32"/>
      <c r="Q2" s="32"/>
    </row>
    <row r="3" spans="1:17" ht="15" customHeight="1" x14ac:dyDescent="0.25">
      <c r="A3" s="32"/>
      <c r="B3" s="1315" t="s">
        <v>208</v>
      </c>
      <c r="C3" s="1317" t="s">
        <v>209</v>
      </c>
      <c r="D3" s="1317"/>
      <c r="E3" s="1317"/>
      <c r="F3" s="1317"/>
      <c r="G3" s="1317" t="s">
        <v>210</v>
      </c>
      <c r="H3" s="1313"/>
      <c r="I3" s="219"/>
      <c r="J3" s="219"/>
      <c r="K3" s="219"/>
      <c r="L3" s="32"/>
      <c r="M3" s="32"/>
      <c r="N3" s="32"/>
      <c r="O3" s="32"/>
      <c r="P3" s="32"/>
      <c r="Q3" s="32"/>
    </row>
    <row r="4" spans="1:17" ht="14.25" customHeight="1" x14ac:dyDescent="0.25">
      <c r="A4" s="32"/>
      <c r="B4" s="1316"/>
      <c r="C4" s="1318"/>
      <c r="D4" s="1318"/>
      <c r="E4" s="1318"/>
      <c r="F4" s="1318"/>
      <c r="G4" s="1318"/>
      <c r="H4" s="1314"/>
      <c r="I4" s="219"/>
      <c r="J4" s="219"/>
      <c r="K4" s="219"/>
      <c r="L4" s="32"/>
      <c r="M4" s="32"/>
      <c r="N4" s="32"/>
      <c r="O4" s="32"/>
      <c r="P4" s="32"/>
      <c r="Q4" s="32"/>
    </row>
    <row r="5" spans="1:17" ht="20.399999999999999" x14ac:dyDescent="0.25">
      <c r="A5" s="32"/>
      <c r="B5" s="99" t="s">
        <v>211</v>
      </c>
      <c r="C5" s="1337" t="s">
        <v>240</v>
      </c>
      <c r="D5" s="1337"/>
      <c r="E5" s="1337"/>
      <c r="F5" s="1337"/>
      <c r="G5" s="1333" t="str">
        <f>IFERROR(IF(H14&lt;0,"No ▲","Yes ✓"),"")</f>
        <v>Yes ✓</v>
      </c>
      <c r="H5" s="1334"/>
      <c r="I5" s="219"/>
      <c r="J5" s="219"/>
      <c r="K5" s="219"/>
      <c r="L5" s="32"/>
      <c r="M5" s="32"/>
      <c r="N5" s="32"/>
      <c r="O5" s="32"/>
      <c r="P5" s="32"/>
      <c r="Q5" s="32"/>
    </row>
    <row r="6" spans="1:17" ht="20.399999999999999" x14ac:dyDescent="0.25">
      <c r="A6" s="32"/>
      <c r="B6" s="99" t="s">
        <v>213</v>
      </c>
      <c r="C6" s="1342" t="s">
        <v>241</v>
      </c>
      <c r="D6" s="1342"/>
      <c r="E6" s="1342"/>
      <c r="F6" s="1342"/>
      <c r="G6" s="1333" t="str">
        <f>IF(H22+H13&lt;0, "No ▲","Yes ✓")</f>
        <v>Yes ✓</v>
      </c>
      <c r="H6" s="1334"/>
      <c r="I6" s="219"/>
      <c r="J6" s="219"/>
      <c r="K6" s="219"/>
      <c r="L6" s="32"/>
      <c r="M6" s="32"/>
      <c r="N6" s="32"/>
      <c r="O6" s="32"/>
      <c r="P6" s="32"/>
      <c r="Q6" s="32"/>
    </row>
    <row r="7" spans="1:17" ht="22.5" customHeight="1" x14ac:dyDescent="0.25">
      <c r="A7" s="32"/>
      <c r="B7" s="99" t="s">
        <v>70</v>
      </c>
      <c r="C7" s="1338" t="s">
        <v>242</v>
      </c>
      <c r="D7" s="1338"/>
      <c r="E7" s="1338"/>
      <c r="F7" s="1338"/>
      <c r="G7" s="1333" t="str">
        <f>IF(H33&lt;0, "No ▲","Yes ✓")</f>
        <v>Yes ✓</v>
      </c>
      <c r="H7" s="1334"/>
      <c r="I7" s="32"/>
      <c r="J7" s="32"/>
      <c r="K7" s="32"/>
      <c r="L7" s="32"/>
      <c r="M7" s="32"/>
      <c r="N7" s="32"/>
      <c r="O7" s="32"/>
      <c r="P7" s="32"/>
      <c r="Q7" s="32"/>
    </row>
    <row r="8" spans="1:17" ht="19.5" customHeight="1" thickBot="1" x14ac:dyDescent="0.3">
      <c r="A8" s="32"/>
      <c r="B8" s="74" t="s">
        <v>243</v>
      </c>
      <c r="C8" s="1341" t="s">
        <v>242</v>
      </c>
      <c r="D8" s="1341"/>
      <c r="E8" s="1341"/>
      <c r="F8" s="1341"/>
      <c r="G8" s="1335" t="str">
        <f>IF(H44&lt;0,"No ▲","Yes ✓")</f>
        <v>Yes ✓</v>
      </c>
      <c r="H8" s="1336"/>
      <c r="I8" s="32"/>
      <c r="J8" s="32"/>
      <c r="K8" s="32"/>
      <c r="L8" s="32"/>
      <c r="M8" s="32"/>
      <c r="N8" s="32"/>
      <c r="O8" s="32"/>
      <c r="P8" s="32"/>
      <c r="Q8" s="32"/>
    </row>
    <row r="9" spans="1:17" ht="18.75" customHeight="1" x14ac:dyDescent="0.25">
      <c r="A9" s="32"/>
      <c r="H9" s="32"/>
      <c r="I9" s="32"/>
      <c r="J9" s="32"/>
      <c r="K9" s="32"/>
      <c r="L9" s="32"/>
      <c r="M9" s="32"/>
      <c r="N9" s="32"/>
      <c r="O9" s="32"/>
      <c r="P9" s="32"/>
      <c r="Q9" s="32"/>
    </row>
    <row r="10" spans="1:17" ht="13.8" x14ac:dyDescent="0.25">
      <c r="A10" s="32"/>
      <c r="B10" s="32"/>
      <c r="C10" s="32"/>
      <c r="D10" s="32"/>
      <c r="E10" s="32"/>
      <c r="F10" s="32"/>
      <c r="G10" s="32"/>
      <c r="H10" s="32"/>
      <c r="I10" s="32"/>
      <c r="J10" s="32"/>
      <c r="K10" s="32"/>
      <c r="L10" s="32"/>
      <c r="M10" s="32"/>
      <c r="N10" s="32"/>
      <c r="O10" s="32"/>
      <c r="P10" s="32"/>
      <c r="Q10" s="32"/>
    </row>
    <row r="11" spans="1:17" ht="14.4" thickBot="1" x14ac:dyDescent="0.3">
      <c r="A11" s="32"/>
      <c r="B11" s="32"/>
      <c r="C11" s="32"/>
      <c r="D11" s="32"/>
      <c r="E11" s="32"/>
      <c r="F11" s="32"/>
      <c r="G11" s="32"/>
      <c r="H11" s="32"/>
      <c r="I11" s="32"/>
      <c r="J11" s="32"/>
      <c r="K11" s="32"/>
      <c r="L11" s="32"/>
      <c r="M11" s="32"/>
      <c r="N11" s="32"/>
      <c r="O11" s="32"/>
      <c r="P11" s="32"/>
      <c r="Q11" s="32"/>
    </row>
    <row r="12" spans="1:17" s="33" customFormat="1" ht="52.5" customHeight="1" thickBot="1" x14ac:dyDescent="0.3">
      <c r="A12" s="32"/>
      <c r="B12" s="1325" t="s">
        <v>218</v>
      </c>
      <c r="C12" s="1326"/>
      <c r="D12" s="1326"/>
      <c r="E12" s="1327"/>
      <c r="F12" s="606"/>
      <c r="G12" s="1304" t="s">
        <v>219</v>
      </c>
      <c r="H12" s="1305"/>
      <c r="K12" s="32"/>
      <c r="L12" s="32"/>
      <c r="M12" s="32"/>
    </row>
    <row r="13" spans="1:17" ht="46.8" x14ac:dyDescent="0.25">
      <c r="A13" s="32"/>
      <c r="B13" s="70" t="s">
        <v>114</v>
      </c>
      <c r="C13" s="71" t="s">
        <v>221</v>
      </c>
      <c r="D13" s="71" t="s">
        <v>147</v>
      </c>
      <c r="E13" s="72" t="s">
        <v>222</v>
      </c>
      <c r="G13" s="73" t="s">
        <v>224</v>
      </c>
      <c r="H13" s="350">
        <f>SUMIF($E$14:$E$14,"&gt;0")</f>
        <v>0</v>
      </c>
      <c r="I13" s="896"/>
      <c r="K13" s="32"/>
      <c r="L13" s="32"/>
      <c r="M13" s="32"/>
      <c r="N13" s="32"/>
      <c r="O13" s="32"/>
    </row>
    <row r="14" spans="1:17" ht="28.2" thickBot="1" x14ac:dyDescent="0.3">
      <c r="A14" s="32"/>
      <c r="B14" s="273" t="str">
        <f>'G-2 Habitat groups'!A150</f>
        <v>Species-rich native hedgerow with trees - associated with bank or ditch</v>
      </c>
      <c r="C14" s="355">
        <f>'G-2 Habitat groups'!R150</f>
        <v>0</v>
      </c>
      <c r="D14" s="355">
        <f>'G-2 Habitat groups'!AD150</f>
        <v>0</v>
      </c>
      <c r="E14" s="599">
        <f>'G-2 Habitat groups'!AF150</f>
        <v>0</v>
      </c>
      <c r="G14" s="74" t="s">
        <v>229</v>
      </c>
      <c r="H14" s="351">
        <f>SUMIF(E14, "&lt;0", E14)</f>
        <v>0</v>
      </c>
      <c r="K14" s="32"/>
      <c r="L14" s="32"/>
      <c r="M14" s="32"/>
      <c r="N14" s="32"/>
      <c r="O14" s="32"/>
    </row>
    <row r="15" spans="1:17" ht="14.4" thickBot="1" x14ac:dyDescent="0.3">
      <c r="A15" s="32"/>
      <c r="C15" s="609">
        <f>SUM(C14:C14)</f>
        <v>0</v>
      </c>
      <c r="D15" s="610">
        <f>SUM(D14:D14)</f>
        <v>0</v>
      </c>
      <c r="E15" s="344">
        <f>SUM(E14:E14)</f>
        <v>0</v>
      </c>
      <c r="G15" s="563"/>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68.099999999999994" customHeight="1" thickBot="1" x14ac:dyDescent="0.3">
      <c r="A20" s="32"/>
      <c r="B20" s="1343" t="s">
        <v>225</v>
      </c>
      <c r="C20" s="1344"/>
      <c r="D20" s="1344"/>
      <c r="E20" s="1345"/>
      <c r="F20" s="603"/>
      <c r="G20" s="1331" t="s">
        <v>226</v>
      </c>
      <c r="H20" s="1332"/>
      <c r="K20" s="32"/>
      <c r="L20" s="32"/>
      <c r="M20" s="32"/>
      <c r="N20" s="32"/>
      <c r="O20" s="32"/>
    </row>
    <row r="21" spans="1:17" ht="46.8" x14ac:dyDescent="0.25">
      <c r="A21" s="32"/>
      <c r="B21" s="70" t="s">
        <v>114</v>
      </c>
      <c r="C21" s="71" t="s">
        <v>120</v>
      </c>
      <c r="D21" s="71" t="s">
        <v>147</v>
      </c>
      <c r="E21" s="72" t="s">
        <v>233</v>
      </c>
      <c r="G21" s="73" t="s">
        <v>228</v>
      </c>
      <c r="H21" s="350">
        <f>SUMIF(E22:E24,"&gt;0")</f>
        <v>0</v>
      </c>
      <c r="K21" s="32"/>
      <c r="L21" s="32"/>
    </row>
    <row r="22" spans="1:17" ht="27.6" x14ac:dyDescent="0.25">
      <c r="A22" s="32"/>
      <c r="B22" s="271" t="str">
        <f>'G-2 Habitat groups'!A151</f>
        <v>Species-rich native hedgerow with trees</v>
      </c>
      <c r="C22" s="346">
        <f>'G-2 Habitat groups'!R151</f>
        <v>0</v>
      </c>
      <c r="D22" s="346">
        <f>'G-2 Habitat groups'!AD151</f>
        <v>0</v>
      </c>
      <c r="E22" s="347">
        <f>'G-2 Habitat groups'!AF151</f>
        <v>0</v>
      </c>
      <c r="G22" s="99" t="s">
        <v>1681</v>
      </c>
      <c r="H22" s="353">
        <f>SUMIF(E22:E24, "&lt;0")</f>
        <v>0</v>
      </c>
      <c r="I22" s="897"/>
      <c r="K22" s="32"/>
      <c r="L22" s="32"/>
    </row>
    <row r="23" spans="1:17" ht="42" thickBot="1" x14ac:dyDescent="0.3">
      <c r="A23" s="32"/>
      <c r="B23" s="271" t="str">
        <f>'G-2 Habitat groups'!A152</f>
        <v>Species-rich native hedgerow - associated with bank or ditch</v>
      </c>
      <c r="C23" s="346">
        <f>'G-2 Habitat groups'!R152</f>
        <v>0</v>
      </c>
      <c r="D23" s="346">
        <f>'G-2 Habitat groups'!AD152</f>
        <v>0</v>
      </c>
      <c r="E23" s="347">
        <f>'G-2 Habitat groups'!AF152</f>
        <v>0</v>
      </c>
      <c r="G23" s="74" t="s">
        <v>1682</v>
      </c>
      <c r="H23" s="351">
        <f>H13+H22</f>
        <v>0</v>
      </c>
    </row>
    <row r="24" spans="1:17" ht="15" customHeight="1" thickBot="1" x14ac:dyDescent="0.3">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3.8" hidden="1" x14ac:dyDescent="0.25">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55" customHeight="1" thickBot="1" x14ac:dyDescent="0.3">
      <c r="A26" s="32"/>
      <c r="B26" s="32"/>
      <c r="C26" s="756">
        <f>SUM(C22:C25)</f>
        <v>0</v>
      </c>
      <c r="D26" s="343">
        <f>SUM(D22:D25)</f>
        <v>0</v>
      </c>
      <c r="E26" s="344">
        <f>SUM(E22:E25)</f>
        <v>0</v>
      </c>
      <c r="H26" s="32"/>
      <c r="K26" s="32"/>
      <c r="L26" s="32"/>
      <c r="M26" s="32"/>
      <c r="N26" s="32"/>
      <c r="O26" s="32"/>
    </row>
    <row r="27" spans="1:17" ht="13.8" x14ac:dyDescent="0.25">
      <c r="A27" s="32"/>
      <c r="B27" s="32"/>
      <c r="C27" s="32"/>
      <c r="D27" s="32"/>
      <c r="E27" s="32"/>
      <c r="F27" s="32"/>
      <c r="G27" s="32"/>
      <c r="H27" s="32"/>
      <c r="I27" s="32"/>
      <c r="J27" s="32"/>
      <c r="K27" s="32"/>
      <c r="L27" s="32"/>
      <c r="M27" s="32"/>
      <c r="N27" s="32"/>
      <c r="O27" s="32"/>
      <c r="P27" s="32"/>
      <c r="Q27" s="32"/>
    </row>
    <row r="28" spans="1:17" ht="13.8" x14ac:dyDescent="0.25">
      <c r="A28" s="32"/>
      <c r="B28" s="32"/>
      <c r="C28" s="32"/>
      <c r="D28" s="32"/>
      <c r="E28" s="32"/>
      <c r="F28" s="32"/>
      <c r="G28" s="32"/>
      <c r="H28" s="32"/>
      <c r="I28" s="32"/>
      <c r="J28" s="32"/>
      <c r="K28" s="32"/>
      <c r="L28" s="32"/>
      <c r="M28" s="32"/>
      <c r="N28" s="32"/>
      <c r="O28" s="32"/>
      <c r="P28" s="32"/>
      <c r="Q28" s="32"/>
    </row>
    <row r="29" spans="1:17" ht="14.4" thickBot="1" x14ac:dyDescent="0.3">
      <c r="A29" s="32"/>
      <c r="B29" s="32"/>
      <c r="C29" s="32"/>
      <c r="D29" s="32"/>
      <c r="E29" s="32"/>
      <c r="F29" s="32"/>
      <c r="G29" s="32"/>
      <c r="H29" s="32"/>
      <c r="I29" s="32"/>
      <c r="J29" s="32"/>
      <c r="K29" s="32"/>
      <c r="L29" s="32"/>
      <c r="M29" s="32"/>
      <c r="N29" s="32"/>
      <c r="O29" s="32"/>
      <c r="P29" s="32"/>
      <c r="Q29" s="32"/>
    </row>
    <row r="30" spans="1:17" ht="28.2" thickBot="1" x14ac:dyDescent="0.45">
      <c r="A30" s="32"/>
      <c r="B30" s="1343" t="s">
        <v>231</v>
      </c>
      <c r="C30" s="1344"/>
      <c r="D30" s="1344"/>
      <c r="E30" s="1345"/>
      <c r="F30" s="603"/>
      <c r="G30" s="1339" t="s">
        <v>232</v>
      </c>
      <c r="H30" s="1340"/>
      <c r="K30" s="32"/>
      <c r="L30" s="32"/>
      <c r="M30" s="32"/>
      <c r="N30" s="32"/>
      <c r="O30" s="32"/>
      <c r="P30" s="32"/>
      <c r="Q30" s="32"/>
    </row>
    <row r="31" spans="1:17" ht="46.8" x14ac:dyDescent="0.25">
      <c r="A31" s="32"/>
      <c r="B31" s="70" t="s">
        <v>114</v>
      </c>
      <c r="C31" s="71" t="s">
        <v>120</v>
      </c>
      <c r="D31" s="71" t="s">
        <v>147</v>
      </c>
      <c r="E31" s="72" t="s">
        <v>233</v>
      </c>
      <c r="G31" s="707" t="s">
        <v>244</v>
      </c>
      <c r="H31" s="352">
        <f>IF(H23&gt;0, H23, 0)+H21</f>
        <v>0</v>
      </c>
      <c r="K31" s="32"/>
      <c r="L31" s="32"/>
      <c r="M31" s="32"/>
      <c r="N31" s="32"/>
      <c r="O31" s="32"/>
      <c r="P31" s="32"/>
      <c r="Q31" s="32"/>
    </row>
    <row r="32" spans="1:17" ht="27.6" x14ac:dyDescent="0.25">
      <c r="A32" s="32"/>
      <c r="B32" s="271" t="str">
        <f>'G-2 Habitat groups'!A154</f>
        <v>Species-rich native hedgerow</v>
      </c>
      <c r="C32" s="346">
        <f>'G-2 Habitat groups'!R154</f>
        <v>0</v>
      </c>
      <c r="D32" s="346">
        <f>'G-2 Habitat groups'!AD154</f>
        <v>0</v>
      </c>
      <c r="E32" s="347">
        <f>'G-2 Habitat groups'!AF154</f>
        <v>0</v>
      </c>
      <c r="G32" s="99" t="s">
        <v>245</v>
      </c>
      <c r="H32" s="347">
        <f>E38</f>
        <v>0</v>
      </c>
      <c r="K32" s="32"/>
      <c r="L32" s="32"/>
      <c r="M32" s="32"/>
      <c r="N32" s="32"/>
      <c r="O32" s="32"/>
      <c r="P32" s="32"/>
      <c r="Q32" s="32"/>
    </row>
    <row r="33" spans="1:17" ht="14.4" thickBot="1" x14ac:dyDescent="0.3">
      <c r="A33" s="32"/>
      <c r="B33" s="271" t="str">
        <f>'G-2 Habitat groups'!A155</f>
        <v>Native hedgerow - associated with bank or ditch</v>
      </c>
      <c r="C33" s="346">
        <f>'G-2 Habitat groups'!R155</f>
        <v>0</v>
      </c>
      <c r="D33" s="346">
        <f>'G-2 Habitat groups'!AD155</f>
        <v>0</v>
      </c>
      <c r="E33" s="347">
        <f>'G-2 Habitat groups'!AF155</f>
        <v>0</v>
      </c>
      <c r="G33" s="74" t="s">
        <v>1674</v>
      </c>
      <c r="H33" s="351">
        <f>H32+H31</f>
        <v>0</v>
      </c>
      <c r="K33" s="32"/>
      <c r="L33" s="32"/>
      <c r="M33" s="32"/>
      <c r="N33" s="32"/>
      <c r="O33" s="32"/>
    </row>
    <row r="34" spans="1:17" ht="13.8" x14ac:dyDescent="0.25">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3.8" x14ac:dyDescent="0.25">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4" thickBot="1" x14ac:dyDescent="0.3">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3.8" hidden="1" x14ac:dyDescent="0.25">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55" customHeight="1" thickBot="1" x14ac:dyDescent="0.3">
      <c r="A38" s="32"/>
      <c r="B38" s="32"/>
      <c r="C38" s="609">
        <f>SUM(C32:C37)</f>
        <v>0</v>
      </c>
      <c r="D38" s="343">
        <f>SUM(D32:D37)</f>
        <v>0</v>
      </c>
      <c r="E38" s="344">
        <f>SUM(E32:E37)</f>
        <v>0</v>
      </c>
      <c r="H38" s="32"/>
      <c r="I38" s="32"/>
      <c r="J38" s="32"/>
      <c r="K38" s="32"/>
      <c r="L38" s="32"/>
      <c r="M38" s="32"/>
      <c r="N38" s="32"/>
      <c r="O38" s="32"/>
      <c r="P38" s="32"/>
      <c r="Q38" s="32"/>
    </row>
    <row r="39" spans="1:17" ht="13.8" x14ac:dyDescent="0.25">
      <c r="A39" s="32"/>
      <c r="B39" s="32"/>
      <c r="C39" s="32"/>
      <c r="D39" s="32"/>
      <c r="E39" s="32"/>
      <c r="F39" s="32"/>
      <c r="G39" s="32"/>
      <c r="H39" s="32"/>
      <c r="I39" s="32"/>
      <c r="J39" s="32"/>
      <c r="K39" s="32"/>
      <c r="L39" s="32"/>
      <c r="M39" s="32"/>
      <c r="N39" s="32"/>
      <c r="O39" s="32"/>
      <c r="P39" s="32"/>
      <c r="Q39" s="32"/>
    </row>
    <row r="40" spans="1:17" ht="13.8" x14ac:dyDescent="0.25">
      <c r="A40" s="32"/>
      <c r="B40" s="32"/>
      <c r="C40" s="32"/>
      <c r="D40" s="32"/>
      <c r="E40" s="32"/>
      <c r="F40" s="32"/>
      <c r="G40" s="32"/>
      <c r="H40" s="32"/>
      <c r="I40" s="32"/>
      <c r="J40" s="32"/>
      <c r="K40" s="32"/>
      <c r="L40" s="32"/>
      <c r="M40" s="32"/>
      <c r="N40" s="32"/>
      <c r="O40" s="32"/>
      <c r="P40" s="32"/>
      <c r="Q40" s="32"/>
    </row>
    <row r="41" spans="1:17" ht="14.4" thickBot="1" x14ac:dyDescent="0.3">
      <c r="A41" s="32"/>
      <c r="B41" s="32"/>
      <c r="C41" s="32"/>
      <c r="D41" s="32"/>
      <c r="E41" s="32"/>
      <c r="F41" s="32"/>
      <c r="G41" s="32"/>
      <c r="H41" s="32"/>
      <c r="I41" s="32"/>
      <c r="J41" s="32"/>
      <c r="K41" s="32"/>
      <c r="L41" s="32"/>
      <c r="M41" s="32"/>
      <c r="N41" s="32"/>
      <c r="O41" s="32"/>
      <c r="P41" s="32"/>
      <c r="Q41" s="32"/>
    </row>
    <row r="42" spans="1:17" ht="25.8" thickBot="1" x14ac:dyDescent="0.45">
      <c r="A42" s="32"/>
      <c r="B42" s="611" t="s">
        <v>246</v>
      </c>
      <c r="C42" s="607"/>
      <c r="D42" s="607"/>
      <c r="E42" s="605"/>
      <c r="F42" s="32"/>
      <c r="G42" s="1302" t="s">
        <v>238</v>
      </c>
      <c r="H42" s="1303"/>
      <c r="I42" s="32"/>
      <c r="J42" s="32"/>
      <c r="K42" s="32"/>
      <c r="L42" s="32"/>
      <c r="M42" s="32"/>
      <c r="N42" s="32"/>
      <c r="O42" s="32"/>
      <c r="P42" s="32"/>
      <c r="Q42" s="32"/>
    </row>
    <row r="43" spans="1:17" ht="46.8" x14ac:dyDescent="0.25">
      <c r="A43" s="32"/>
      <c r="B43" s="70" t="s">
        <v>114</v>
      </c>
      <c r="C43" s="71" t="s">
        <v>221</v>
      </c>
      <c r="D43" s="71" t="s">
        <v>147</v>
      </c>
      <c r="E43" s="72" t="s">
        <v>233</v>
      </c>
      <c r="F43" s="32"/>
      <c r="G43" s="73" t="s">
        <v>239</v>
      </c>
      <c r="H43" s="352">
        <f>E48</f>
        <v>0</v>
      </c>
      <c r="I43" s="32"/>
      <c r="J43" s="32"/>
      <c r="K43" s="32"/>
      <c r="L43" s="32"/>
      <c r="M43" s="32"/>
      <c r="N43" s="32"/>
      <c r="O43" s="32"/>
      <c r="P43" s="32"/>
      <c r="Q43" s="32"/>
    </row>
    <row r="44" spans="1:17" ht="14.4" thickBot="1" x14ac:dyDescent="0.3">
      <c r="A44" s="32"/>
      <c r="B44" s="215" t="str">
        <f>'G-2 Habitat groups'!A159</f>
        <v>Native hedgerow</v>
      </c>
      <c r="C44" s="346">
        <f>'G-2 Habitat groups'!R159</f>
        <v>0</v>
      </c>
      <c r="D44" s="346">
        <f>'G-2 Habitat groups'!AD159</f>
        <v>0</v>
      </c>
      <c r="E44" s="347">
        <f>'G-2 Habitat groups'!AF159</f>
        <v>0</v>
      </c>
      <c r="F44" s="32"/>
      <c r="G44" s="74" t="s">
        <v>1674</v>
      </c>
      <c r="H44" s="351">
        <f>H43+H33</f>
        <v>0</v>
      </c>
      <c r="I44" s="32"/>
      <c r="J44" s="32"/>
      <c r="K44" s="32"/>
      <c r="L44" s="32"/>
      <c r="M44" s="32"/>
      <c r="N44" s="32"/>
      <c r="O44" s="32"/>
      <c r="P44" s="32"/>
      <c r="Q44" s="32"/>
    </row>
    <row r="45" spans="1:17" ht="13.8" x14ac:dyDescent="0.25">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5.2" x14ac:dyDescent="0.2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4" thickBot="1" x14ac:dyDescent="0.3">
      <c r="A47" s="32"/>
      <c r="B47" s="211" t="str">
        <f>'G-2 Habitat groups'!A162</f>
        <v>Non-native and ornamental hedgerow</v>
      </c>
      <c r="C47" s="355">
        <f>'G-2 Habitat groups'!R162</f>
        <v>0</v>
      </c>
      <c r="D47" s="355">
        <f>'G-2 Habitat groups'!AD162</f>
        <v>0</v>
      </c>
      <c r="E47" s="599">
        <f>'G-2 Habitat groups'!AF162</f>
        <v>0</v>
      </c>
      <c r="K47" s="32"/>
      <c r="L47" s="32"/>
      <c r="M47" s="32"/>
      <c r="N47" s="32"/>
      <c r="O47" s="32"/>
      <c r="P47" s="32"/>
      <c r="Q47" s="32"/>
    </row>
    <row r="48" spans="1:17" ht="14.4" thickBot="1" x14ac:dyDescent="0.3">
      <c r="A48" s="32"/>
      <c r="B48" s="32"/>
      <c r="C48" s="414">
        <f>SUM(C44:C47)</f>
        <v>0</v>
      </c>
      <c r="D48" s="414">
        <f>SUM(D44:D47)</f>
        <v>0</v>
      </c>
      <c r="E48" s="414">
        <f>SUM(E44:E47)</f>
        <v>0</v>
      </c>
      <c r="K48" s="32"/>
      <c r="L48" s="32"/>
      <c r="M48" s="32"/>
      <c r="N48" s="32"/>
      <c r="O48" s="32"/>
      <c r="P48" s="32"/>
      <c r="Q48" s="32"/>
    </row>
    <row r="49" spans="1:17" ht="13.8" x14ac:dyDescent="0.25">
      <c r="A49" s="32"/>
      <c r="G49" s="32"/>
      <c r="H49" s="32"/>
      <c r="I49" s="32"/>
      <c r="J49" s="32"/>
      <c r="K49" s="32"/>
      <c r="L49" s="32"/>
      <c r="M49" s="32"/>
      <c r="N49" s="32"/>
      <c r="O49" s="32"/>
      <c r="P49" s="32"/>
      <c r="Q49" s="32"/>
    </row>
    <row r="50" spans="1:17" ht="13.8" x14ac:dyDescent="0.25">
      <c r="A50" s="32"/>
      <c r="G50" s="32"/>
      <c r="H50" s="32"/>
      <c r="I50" s="32"/>
      <c r="J50" s="32"/>
      <c r="K50" s="32"/>
      <c r="L50" s="32"/>
      <c r="M50" s="32"/>
      <c r="N50" s="32"/>
      <c r="O50" s="32"/>
      <c r="P50" s="32"/>
      <c r="Q50" s="32"/>
    </row>
    <row r="51" spans="1:17" ht="13.8" x14ac:dyDescent="0.25">
      <c r="A51" s="32"/>
      <c r="G51" s="32"/>
      <c r="H51" s="32"/>
      <c r="I51" s="32"/>
      <c r="J51" s="32"/>
      <c r="K51" s="32"/>
      <c r="L51" s="32"/>
      <c r="M51" s="32"/>
      <c r="N51" s="32"/>
      <c r="O51" s="32"/>
      <c r="P51" s="32"/>
      <c r="Q51" s="32"/>
    </row>
    <row r="52" spans="1:17" ht="13.8" x14ac:dyDescent="0.25">
      <c r="A52" s="32"/>
      <c r="G52" s="32"/>
      <c r="H52" s="32"/>
      <c r="I52" s="32"/>
      <c r="J52" s="32"/>
      <c r="K52" s="32"/>
      <c r="L52" s="32"/>
      <c r="M52" s="32"/>
      <c r="N52" s="32"/>
      <c r="O52" s="32"/>
      <c r="P52" s="32"/>
      <c r="Q52" s="32"/>
    </row>
    <row r="53" spans="1:17" ht="13.8" x14ac:dyDescent="0.25">
      <c r="A53" s="32"/>
      <c r="B53" s="32"/>
      <c r="C53" s="32"/>
      <c r="D53" s="32"/>
      <c r="E53" s="32"/>
      <c r="F53" s="32"/>
      <c r="G53" s="32"/>
      <c r="H53" s="32"/>
      <c r="I53" s="32"/>
      <c r="J53" s="32"/>
      <c r="K53" s="32"/>
      <c r="L53" s="32"/>
      <c r="M53" s="32"/>
      <c r="N53" s="32"/>
      <c r="O53" s="32"/>
      <c r="P53" s="32"/>
      <c r="Q53" s="32"/>
    </row>
    <row r="54" spans="1:17" ht="13.8" x14ac:dyDescent="0.25">
      <c r="A54" s="32"/>
      <c r="B54" s="32"/>
      <c r="C54" s="32"/>
      <c r="D54" s="32"/>
      <c r="E54" s="32"/>
      <c r="F54" s="32"/>
      <c r="G54" s="32"/>
      <c r="H54" s="32"/>
      <c r="I54" s="32"/>
      <c r="J54" s="32"/>
      <c r="K54" s="32"/>
      <c r="L54" s="32"/>
      <c r="M54" s="32"/>
      <c r="N54" s="32"/>
      <c r="O54" s="32"/>
      <c r="P54" s="32"/>
      <c r="Q54" s="32"/>
    </row>
    <row r="55" spans="1:17" ht="13.8" x14ac:dyDescent="0.25">
      <c r="A55" s="32"/>
      <c r="B55" s="32"/>
      <c r="C55" s="32"/>
      <c r="D55" s="32"/>
      <c r="E55" s="32"/>
      <c r="F55" s="32"/>
      <c r="G55" s="32"/>
      <c r="H55" s="32"/>
      <c r="I55" s="32"/>
      <c r="J55" s="32"/>
      <c r="K55" s="32"/>
      <c r="L55" s="32"/>
      <c r="M55" s="32"/>
      <c r="N55" s="32"/>
      <c r="O55" s="32"/>
      <c r="P55" s="32"/>
      <c r="Q55" s="32"/>
    </row>
    <row r="56" spans="1:17" ht="13.8" x14ac:dyDescent="0.25">
      <c r="A56" s="32"/>
      <c r="B56" s="32"/>
      <c r="C56" s="32"/>
      <c r="D56" s="32"/>
      <c r="E56" s="32"/>
      <c r="F56" s="32"/>
      <c r="G56" s="32"/>
      <c r="H56" s="32"/>
      <c r="I56" s="32"/>
      <c r="J56" s="32"/>
      <c r="K56" s="32"/>
      <c r="L56" s="32"/>
      <c r="M56" s="32"/>
      <c r="N56" s="32"/>
      <c r="O56" s="32"/>
      <c r="P56" s="32"/>
      <c r="Q56" s="32"/>
    </row>
    <row r="57" spans="1:17" ht="13.8" x14ac:dyDescent="0.25">
      <c r="A57" s="32"/>
      <c r="B57" s="32"/>
      <c r="C57" s="32"/>
      <c r="D57" s="32"/>
      <c r="E57" s="32"/>
      <c r="F57" s="32"/>
      <c r="G57" s="32"/>
      <c r="H57" s="32"/>
      <c r="I57" s="32"/>
      <c r="J57" s="32"/>
      <c r="K57" s="32"/>
      <c r="L57" s="32"/>
      <c r="M57" s="32"/>
      <c r="N57" s="32"/>
      <c r="O57" s="32"/>
      <c r="P57" s="32"/>
      <c r="Q57" s="32"/>
    </row>
    <row r="58" spans="1:17" ht="13.8" x14ac:dyDescent="0.25">
      <c r="A58" s="32"/>
      <c r="B58" s="32"/>
      <c r="C58" s="32"/>
      <c r="D58" s="32"/>
      <c r="E58" s="32"/>
      <c r="F58" s="32"/>
      <c r="G58" s="32"/>
      <c r="H58" s="32"/>
      <c r="I58" s="32"/>
      <c r="J58" s="32"/>
      <c r="K58" s="32"/>
      <c r="L58" s="32"/>
      <c r="M58" s="32"/>
      <c r="N58" s="32"/>
      <c r="O58" s="32"/>
      <c r="P58" s="32"/>
      <c r="Q58" s="32"/>
    </row>
    <row r="59" spans="1:17" ht="13.8" x14ac:dyDescent="0.25">
      <c r="A59" s="32"/>
      <c r="B59" s="32"/>
      <c r="C59" s="32"/>
      <c r="D59" s="32"/>
      <c r="E59" s="32"/>
      <c r="F59" s="32"/>
      <c r="G59" s="32"/>
      <c r="H59" s="32"/>
      <c r="I59" s="32"/>
      <c r="J59" s="32"/>
      <c r="K59" s="32"/>
      <c r="L59" s="32"/>
      <c r="M59" s="32"/>
      <c r="N59" s="32"/>
      <c r="O59" s="32"/>
      <c r="P59" s="32"/>
      <c r="Q59" s="32"/>
    </row>
    <row r="60" spans="1:17" ht="13.8" x14ac:dyDescent="0.25">
      <c r="A60" s="32"/>
      <c r="B60" s="32"/>
      <c r="C60" s="32"/>
      <c r="D60" s="32"/>
      <c r="E60" s="32"/>
      <c r="F60" s="32"/>
      <c r="G60" s="32"/>
      <c r="H60" s="32"/>
      <c r="I60" s="32"/>
      <c r="J60" s="32"/>
      <c r="K60" s="32"/>
      <c r="L60" s="32"/>
      <c r="M60" s="32"/>
      <c r="N60" s="32"/>
      <c r="O60" s="32"/>
      <c r="P60" s="32"/>
      <c r="Q60" s="32"/>
    </row>
    <row r="61" spans="1:17" ht="13.8" x14ac:dyDescent="0.25">
      <c r="A61" s="32"/>
      <c r="B61" s="32"/>
      <c r="C61" s="32"/>
      <c r="D61" s="32"/>
      <c r="E61" s="32"/>
      <c r="F61" s="32"/>
      <c r="G61" s="32"/>
      <c r="H61" s="32"/>
      <c r="I61" s="32"/>
      <c r="J61" s="32"/>
      <c r="K61" s="32"/>
      <c r="L61" s="32"/>
      <c r="M61" s="32"/>
      <c r="N61" s="32"/>
      <c r="O61" s="32"/>
      <c r="P61" s="32"/>
      <c r="Q61" s="32"/>
    </row>
    <row r="62" spans="1:17" ht="13.8" x14ac:dyDescent="0.25">
      <c r="A62" s="32"/>
      <c r="B62" s="32"/>
      <c r="C62" s="32"/>
      <c r="D62" s="32"/>
      <c r="E62" s="32"/>
      <c r="F62" s="32"/>
      <c r="G62" s="32"/>
      <c r="H62" s="32"/>
      <c r="I62" s="32"/>
      <c r="J62" s="32"/>
      <c r="K62" s="32"/>
      <c r="L62" s="32"/>
      <c r="M62" s="32"/>
      <c r="N62" s="32"/>
      <c r="O62" s="32"/>
      <c r="P62" s="32"/>
      <c r="Q62" s="32"/>
    </row>
    <row r="63" spans="1:17" ht="13.8" x14ac:dyDescent="0.25">
      <c r="A63" s="32"/>
      <c r="B63" s="32"/>
      <c r="C63" s="32"/>
      <c r="D63" s="32"/>
      <c r="E63" s="32"/>
      <c r="F63" s="32"/>
      <c r="G63" s="32"/>
      <c r="H63" s="32"/>
      <c r="I63" s="32"/>
      <c r="J63" s="32"/>
      <c r="K63" s="32"/>
      <c r="L63" s="32"/>
      <c r="M63" s="32"/>
      <c r="N63" s="32"/>
      <c r="O63" s="32"/>
      <c r="P63" s="32"/>
      <c r="Q63" s="32"/>
    </row>
    <row r="64" spans="1:17" ht="13.8" x14ac:dyDescent="0.25">
      <c r="A64" s="32"/>
      <c r="B64" s="32"/>
      <c r="C64" s="32"/>
      <c r="D64" s="32"/>
      <c r="E64" s="32"/>
      <c r="F64" s="32"/>
      <c r="G64" s="32"/>
      <c r="H64" s="32"/>
      <c r="I64" s="32"/>
      <c r="J64" s="32"/>
      <c r="K64" s="32"/>
      <c r="L64" s="32"/>
      <c r="M64" s="32"/>
      <c r="N64" s="32"/>
      <c r="O64" s="32"/>
      <c r="P64" s="32"/>
      <c r="Q64" s="32"/>
    </row>
    <row r="65" spans="1:17" ht="13.8" x14ac:dyDescent="0.25">
      <c r="A65" s="32"/>
      <c r="B65" s="32"/>
      <c r="C65" s="32"/>
      <c r="D65" s="32"/>
      <c r="E65" s="32"/>
      <c r="F65" s="32"/>
      <c r="G65" s="32"/>
      <c r="H65" s="32"/>
      <c r="I65" s="32"/>
      <c r="J65" s="32"/>
      <c r="K65" s="32"/>
      <c r="L65" s="32"/>
      <c r="M65" s="32"/>
      <c r="N65" s="32"/>
      <c r="O65" s="32"/>
      <c r="P65" s="32"/>
      <c r="Q65" s="32"/>
    </row>
    <row r="66" spans="1:17" ht="13.8" x14ac:dyDescent="0.25">
      <c r="A66" s="32"/>
      <c r="B66" s="32"/>
      <c r="C66" s="32"/>
      <c r="D66" s="32"/>
      <c r="E66" s="32"/>
      <c r="F66" s="32"/>
      <c r="G66" s="32"/>
      <c r="H66" s="32"/>
      <c r="I66" s="32"/>
      <c r="J66" s="32"/>
      <c r="K66" s="32"/>
      <c r="L66" s="32"/>
      <c r="M66" s="32"/>
      <c r="N66" s="32"/>
      <c r="O66" s="32"/>
      <c r="P66" s="32"/>
      <c r="Q66" s="32"/>
    </row>
    <row r="67" spans="1:17" ht="13.8" x14ac:dyDescent="0.25">
      <c r="A67" s="32"/>
      <c r="B67" s="32"/>
      <c r="C67" s="32"/>
      <c r="D67" s="32"/>
      <c r="E67" s="32"/>
      <c r="F67" s="32"/>
      <c r="G67" s="32"/>
      <c r="H67" s="32"/>
      <c r="I67" s="32"/>
      <c r="J67" s="32"/>
      <c r="K67" s="32"/>
      <c r="L67" s="32"/>
      <c r="M67" s="32"/>
      <c r="N67" s="32"/>
      <c r="O67" s="32"/>
      <c r="P67" s="32"/>
      <c r="Q67" s="32"/>
    </row>
    <row r="68" spans="1:17" ht="13.8" x14ac:dyDescent="0.25">
      <c r="A68" s="32"/>
      <c r="B68" s="32"/>
      <c r="C68" s="32"/>
      <c r="D68" s="32"/>
      <c r="E68" s="32"/>
      <c r="F68" s="32"/>
      <c r="G68" s="32"/>
      <c r="H68" s="32"/>
      <c r="I68" s="32"/>
      <c r="J68" s="32"/>
      <c r="K68" s="32"/>
      <c r="L68" s="32"/>
      <c r="M68" s="32"/>
      <c r="N68" s="32"/>
      <c r="O68" s="32"/>
      <c r="P68" s="32"/>
      <c r="Q68" s="32"/>
    </row>
    <row r="69" spans="1:17" ht="13.8" x14ac:dyDescent="0.25">
      <c r="A69" s="32"/>
      <c r="B69" s="32"/>
      <c r="C69" s="32"/>
      <c r="D69" s="32"/>
      <c r="E69" s="32"/>
      <c r="F69" s="32"/>
      <c r="G69" s="32"/>
      <c r="H69" s="32"/>
      <c r="I69" s="32"/>
      <c r="J69" s="32"/>
      <c r="K69" s="32"/>
      <c r="L69" s="32"/>
      <c r="M69" s="32"/>
      <c r="N69" s="32"/>
      <c r="O69" s="32"/>
      <c r="P69" s="32"/>
      <c r="Q69" s="32"/>
    </row>
    <row r="70" spans="1:17" ht="13.8" x14ac:dyDescent="0.25">
      <c r="A70" s="32"/>
      <c r="B70" s="32"/>
      <c r="C70" s="32"/>
      <c r="D70" s="32"/>
      <c r="E70" s="32"/>
      <c r="F70" s="32"/>
      <c r="G70" s="32"/>
      <c r="H70" s="32"/>
      <c r="I70" s="32"/>
      <c r="J70" s="32"/>
      <c r="K70" s="32"/>
      <c r="L70" s="32"/>
      <c r="M70" s="32"/>
      <c r="N70" s="32"/>
      <c r="O70" s="32"/>
      <c r="P70" s="32"/>
      <c r="Q70" s="32"/>
    </row>
    <row r="71" spans="1:17" ht="13.8" x14ac:dyDescent="0.25">
      <c r="A71" s="32"/>
      <c r="B71" s="32"/>
      <c r="C71" s="32"/>
      <c r="D71" s="32"/>
      <c r="E71" s="32"/>
      <c r="F71" s="32"/>
      <c r="G71" s="32"/>
      <c r="H71" s="32"/>
      <c r="I71" s="32"/>
      <c r="J71" s="32"/>
      <c r="K71" s="32"/>
      <c r="L71" s="32"/>
      <c r="M71" s="32"/>
      <c r="N71" s="32"/>
      <c r="O71" s="32"/>
      <c r="P71" s="32"/>
      <c r="Q71" s="32"/>
    </row>
    <row r="72" spans="1:17" ht="13.8" x14ac:dyDescent="0.25">
      <c r="A72" s="32"/>
      <c r="B72" s="32"/>
      <c r="C72" s="32"/>
      <c r="D72" s="32"/>
      <c r="E72" s="32"/>
      <c r="F72" s="32"/>
      <c r="G72" s="32"/>
      <c r="H72" s="32"/>
      <c r="I72" s="32"/>
      <c r="J72" s="32"/>
      <c r="K72" s="32"/>
      <c r="L72" s="32"/>
      <c r="M72" s="32"/>
      <c r="N72" s="32"/>
      <c r="O72" s="32"/>
      <c r="P72" s="32"/>
      <c r="Q72" s="32"/>
    </row>
    <row r="73" spans="1:17" ht="13.8" x14ac:dyDescent="0.25">
      <c r="A73" s="32"/>
      <c r="B73" s="32"/>
      <c r="C73" s="32"/>
      <c r="D73" s="32"/>
      <c r="E73" s="32"/>
      <c r="F73" s="32"/>
      <c r="G73" s="32"/>
      <c r="H73" s="32"/>
      <c r="I73" s="32"/>
      <c r="J73" s="32"/>
      <c r="K73" s="32"/>
      <c r="L73" s="32"/>
      <c r="M73" s="32"/>
      <c r="N73" s="32"/>
      <c r="O73" s="32"/>
      <c r="P73" s="32"/>
      <c r="Q73" s="32"/>
    </row>
    <row r="74" spans="1:17" ht="13.8" x14ac:dyDescent="0.25">
      <c r="A74" s="32"/>
      <c r="B74" s="32"/>
      <c r="C74" s="32"/>
      <c r="D74" s="32"/>
      <c r="E74" s="32"/>
      <c r="F74" s="32"/>
      <c r="G74" s="32"/>
      <c r="H74" s="32"/>
      <c r="I74" s="32"/>
      <c r="J74" s="32"/>
      <c r="K74" s="32"/>
      <c r="L74" s="32"/>
      <c r="M74" s="32"/>
      <c r="N74" s="32"/>
      <c r="O74" s="32"/>
      <c r="P74" s="32"/>
      <c r="Q74" s="32"/>
    </row>
    <row r="75" spans="1:17" ht="13.8" x14ac:dyDescent="0.25">
      <c r="A75" s="32"/>
      <c r="B75" s="32"/>
      <c r="C75" s="32"/>
      <c r="D75" s="32"/>
      <c r="E75" s="32"/>
      <c r="F75" s="32"/>
      <c r="G75" s="32"/>
      <c r="H75" s="32"/>
      <c r="I75" s="32"/>
      <c r="J75" s="32"/>
      <c r="K75" s="32"/>
      <c r="L75" s="32"/>
      <c r="M75" s="32"/>
      <c r="N75" s="32"/>
      <c r="O75" s="32"/>
      <c r="P75" s="32"/>
      <c r="Q75" s="32"/>
    </row>
    <row r="76" spans="1:17" ht="13.8" x14ac:dyDescent="0.25">
      <c r="A76" s="32"/>
      <c r="B76" s="32"/>
      <c r="C76" s="32"/>
      <c r="D76" s="32"/>
      <c r="E76" s="32"/>
      <c r="F76" s="32"/>
      <c r="G76" s="32"/>
      <c r="H76" s="32"/>
      <c r="I76" s="32"/>
      <c r="J76" s="32"/>
      <c r="K76" s="32"/>
      <c r="L76" s="32"/>
      <c r="M76" s="32"/>
      <c r="N76" s="32"/>
      <c r="O76" s="32"/>
      <c r="P76" s="32"/>
      <c r="Q76" s="32"/>
    </row>
    <row r="77" spans="1:17" ht="13.8" x14ac:dyDescent="0.25">
      <c r="A77" s="32"/>
      <c r="B77" s="32"/>
      <c r="C77" s="32"/>
      <c r="D77" s="32"/>
      <c r="E77" s="32"/>
      <c r="F77" s="32"/>
      <c r="G77" s="32"/>
      <c r="H77" s="32"/>
      <c r="I77" s="32"/>
      <c r="J77" s="32"/>
      <c r="K77" s="32"/>
      <c r="L77" s="32"/>
      <c r="M77" s="32"/>
      <c r="N77" s="32"/>
      <c r="O77" s="32"/>
      <c r="P77" s="32"/>
      <c r="Q77" s="32"/>
    </row>
    <row r="78" spans="1:17" ht="13.8" x14ac:dyDescent="0.25">
      <c r="A78" s="32"/>
      <c r="B78" s="32"/>
      <c r="C78" s="32"/>
      <c r="D78" s="32"/>
      <c r="E78" s="32"/>
      <c r="F78" s="32"/>
      <c r="G78" s="32"/>
      <c r="H78" s="32"/>
      <c r="I78" s="32"/>
      <c r="J78" s="32"/>
      <c r="K78" s="32"/>
      <c r="L78" s="32"/>
      <c r="M78" s="32"/>
      <c r="N78" s="32"/>
      <c r="O78" s="32"/>
      <c r="P78" s="32"/>
      <c r="Q78" s="32"/>
    </row>
    <row r="79" spans="1:17" ht="13.8" x14ac:dyDescent="0.25">
      <c r="A79" s="32"/>
      <c r="B79" s="32"/>
      <c r="C79" s="32"/>
      <c r="D79" s="32"/>
      <c r="E79" s="32"/>
      <c r="F79" s="32"/>
      <c r="G79" s="32"/>
      <c r="H79" s="32"/>
      <c r="I79" s="32"/>
      <c r="J79" s="32"/>
      <c r="K79" s="32"/>
      <c r="L79" s="32"/>
      <c r="M79" s="32"/>
      <c r="N79" s="32"/>
      <c r="O79" s="32"/>
      <c r="P79" s="32"/>
      <c r="Q79" s="32"/>
    </row>
    <row r="80" spans="1:17" ht="13.8" x14ac:dyDescent="0.25">
      <c r="A80" s="32"/>
      <c r="B80" s="32"/>
      <c r="C80" s="32"/>
      <c r="D80" s="32"/>
      <c r="E80" s="32"/>
      <c r="F80" s="32"/>
      <c r="G80" s="32"/>
      <c r="H80" s="32"/>
      <c r="I80" s="32"/>
      <c r="J80" s="32"/>
      <c r="K80" s="32"/>
      <c r="L80" s="32"/>
      <c r="M80" s="32"/>
      <c r="N80" s="32"/>
      <c r="O80" s="32"/>
      <c r="P80" s="32"/>
      <c r="Q80" s="32"/>
    </row>
    <row r="81" spans="1:17" ht="13.8" x14ac:dyDescent="0.25">
      <c r="A81" s="32"/>
      <c r="B81" s="32"/>
      <c r="C81" s="32"/>
      <c r="D81" s="32"/>
      <c r="E81" s="32"/>
      <c r="F81" s="32"/>
      <c r="G81" s="32"/>
      <c r="H81" s="32"/>
      <c r="I81" s="32"/>
      <c r="J81" s="32"/>
      <c r="K81" s="32"/>
      <c r="L81" s="32"/>
      <c r="M81" s="32"/>
      <c r="N81" s="32"/>
      <c r="O81" s="32"/>
      <c r="P81" s="32"/>
      <c r="Q81" s="32"/>
    </row>
    <row r="82" spans="1:17" ht="13.8" x14ac:dyDescent="0.25">
      <c r="A82" s="32"/>
      <c r="B82" s="32"/>
      <c r="C82" s="32"/>
      <c r="D82" s="32"/>
      <c r="E82" s="32"/>
      <c r="F82" s="32"/>
      <c r="G82" s="32"/>
      <c r="H82" s="32"/>
      <c r="I82" s="32"/>
      <c r="J82" s="32"/>
      <c r="K82" s="32"/>
      <c r="L82" s="32"/>
      <c r="M82" s="32"/>
      <c r="N82" s="32"/>
      <c r="O82" s="32"/>
      <c r="P82" s="32"/>
      <c r="Q82" s="32"/>
    </row>
    <row r="83" spans="1:17" ht="13.8" x14ac:dyDescent="0.25">
      <c r="A83" s="32"/>
      <c r="B83" s="32"/>
      <c r="C83" s="32"/>
      <c r="D83" s="32"/>
      <c r="E83" s="32"/>
      <c r="F83" s="32"/>
      <c r="G83" s="32"/>
      <c r="H83" s="32"/>
      <c r="I83" s="32"/>
      <c r="J83" s="32"/>
      <c r="K83" s="32"/>
      <c r="L83" s="32"/>
      <c r="M83" s="32"/>
      <c r="N83" s="32"/>
      <c r="O83" s="32"/>
      <c r="P83" s="32"/>
      <c r="Q83" s="32"/>
    </row>
    <row r="84" spans="1:17" ht="13.8" x14ac:dyDescent="0.25">
      <c r="A84" s="32"/>
      <c r="B84" s="32"/>
      <c r="C84" s="32"/>
      <c r="D84" s="32"/>
      <c r="E84" s="32"/>
      <c r="F84" s="32"/>
      <c r="G84" s="32"/>
      <c r="H84" s="32"/>
      <c r="I84" s="32"/>
      <c r="J84" s="32"/>
      <c r="K84" s="32"/>
      <c r="L84" s="32"/>
      <c r="M84" s="32"/>
      <c r="N84" s="32"/>
      <c r="O84" s="32"/>
      <c r="P84" s="32"/>
      <c r="Q84" s="32"/>
    </row>
    <row r="85" spans="1:17" ht="13.8" x14ac:dyDescent="0.25">
      <c r="A85" s="32"/>
      <c r="B85" s="32"/>
      <c r="C85" s="32"/>
      <c r="D85" s="32"/>
      <c r="E85" s="32"/>
      <c r="F85" s="32"/>
      <c r="G85" s="32"/>
      <c r="H85" s="32"/>
      <c r="I85" s="32"/>
      <c r="J85" s="32"/>
      <c r="K85" s="32"/>
      <c r="L85" s="32"/>
      <c r="M85" s="32"/>
      <c r="N85" s="32"/>
      <c r="O85" s="32"/>
      <c r="P85" s="32"/>
      <c r="Q85" s="32"/>
    </row>
    <row r="86" spans="1:17" ht="13.8" x14ac:dyDescent="0.25">
      <c r="A86" s="32"/>
      <c r="B86" s="32"/>
      <c r="C86" s="32"/>
      <c r="D86" s="32"/>
      <c r="E86" s="32"/>
      <c r="F86" s="32"/>
      <c r="G86" s="32"/>
      <c r="H86" s="32"/>
      <c r="I86" s="32"/>
      <c r="J86" s="32"/>
      <c r="K86" s="32"/>
      <c r="L86" s="32"/>
      <c r="M86" s="32"/>
      <c r="N86" s="32"/>
      <c r="O86" s="32"/>
      <c r="P86" s="32"/>
      <c r="Q86" s="32"/>
    </row>
    <row r="87" spans="1:17" ht="13.8" x14ac:dyDescent="0.25">
      <c r="A87" s="32"/>
      <c r="B87" s="32"/>
      <c r="C87" s="32"/>
      <c r="D87" s="32"/>
      <c r="E87" s="32"/>
      <c r="F87" s="32"/>
      <c r="G87" s="32"/>
      <c r="H87" s="32"/>
      <c r="I87" s="32"/>
      <c r="J87" s="32"/>
      <c r="K87" s="32"/>
      <c r="L87" s="32"/>
      <c r="M87" s="32"/>
      <c r="N87" s="32"/>
      <c r="O87" s="32"/>
      <c r="P87" s="32"/>
      <c r="Q87" s="32"/>
    </row>
    <row r="88" spans="1:17" ht="13.8" x14ac:dyDescent="0.25">
      <c r="A88" s="32"/>
      <c r="B88" s="32"/>
      <c r="C88" s="32"/>
      <c r="D88" s="32"/>
      <c r="E88" s="32"/>
      <c r="F88" s="32"/>
      <c r="G88" s="32"/>
      <c r="H88" s="32"/>
      <c r="I88" s="32"/>
      <c r="J88" s="32"/>
      <c r="K88" s="32"/>
      <c r="L88" s="32"/>
      <c r="M88" s="32"/>
      <c r="N88" s="32"/>
      <c r="O88" s="32"/>
      <c r="P88" s="32"/>
      <c r="Q88" s="32"/>
    </row>
    <row r="89" spans="1:17" ht="13.8" x14ac:dyDescent="0.25">
      <c r="A89" s="32"/>
      <c r="B89" s="32"/>
      <c r="C89" s="32"/>
      <c r="D89" s="32"/>
      <c r="E89" s="32"/>
      <c r="F89" s="32"/>
      <c r="G89" s="32"/>
      <c r="H89" s="32"/>
      <c r="I89" s="32"/>
      <c r="J89" s="32"/>
      <c r="K89" s="32"/>
      <c r="L89" s="32"/>
      <c r="M89" s="32"/>
      <c r="N89" s="32"/>
      <c r="O89" s="32"/>
      <c r="P89" s="32"/>
      <c r="Q89" s="32"/>
    </row>
    <row r="90" spans="1:17" ht="13.8" x14ac:dyDescent="0.25">
      <c r="A90" s="32"/>
      <c r="B90" s="32"/>
      <c r="C90" s="32"/>
      <c r="D90" s="32"/>
      <c r="E90" s="32"/>
      <c r="F90" s="32"/>
      <c r="G90" s="32"/>
      <c r="H90" s="32"/>
      <c r="I90" s="32"/>
      <c r="J90" s="32"/>
      <c r="K90" s="32"/>
      <c r="L90" s="32"/>
      <c r="M90" s="32"/>
      <c r="N90" s="32"/>
      <c r="O90" s="32"/>
      <c r="P90" s="32"/>
      <c r="Q90" s="32"/>
    </row>
    <row r="91" spans="1:17" ht="13.8" x14ac:dyDescent="0.25">
      <c r="A91" s="32"/>
      <c r="B91" s="32"/>
      <c r="C91" s="32"/>
      <c r="D91" s="32"/>
      <c r="E91" s="32"/>
      <c r="F91" s="32"/>
      <c r="G91" s="32"/>
      <c r="H91" s="32"/>
      <c r="I91" s="32"/>
      <c r="J91" s="32"/>
      <c r="K91" s="32"/>
      <c r="L91" s="32"/>
      <c r="M91" s="32"/>
      <c r="N91" s="32"/>
      <c r="O91" s="32"/>
      <c r="P91" s="32"/>
      <c r="Q91" s="32"/>
    </row>
    <row r="92" spans="1:17" ht="13.8" x14ac:dyDescent="0.25">
      <c r="A92" s="32"/>
      <c r="B92" s="32"/>
      <c r="C92" s="32"/>
      <c r="D92" s="32"/>
      <c r="E92" s="32"/>
      <c r="F92" s="32"/>
      <c r="G92" s="32"/>
      <c r="H92" s="32"/>
      <c r="I92" s="32"/>
      <c r="J92" s="32"/>
      <c r="K92" s="32"/>
      <c r="L92" s="32"/>
      <c r="M92" s="32"/>
      <c r="N92" s="32"/>
      <c r="O92" s="32"/>
      <c r="P92" s="32"/>
      <c r="Q92" s="32"/>
    </row>
    <row r="93" spans="1:17" ht="13.8" x14ac:dyDescent="0.25">
      <c r="A93" s="32"/>
      <c r="B93" s="32"/>
      <c r="C93" s="32"/>
      <c r="D93" s="32"/>
      <c r="E93" s="32"/>
      <c r="F93" s="32"/>
      <c r="G93" s="32"/>
      <c r="H93" s="32"/>
      <c r="I93" s="32"/>
      <c r="J93" s="32"/>
      <c r="K93" s="32"/>
      <c r="L93" s="32"/>
      <c r="M93" s="32"/>
      <c r="N93" s="32"/>
      <c r="O93" s="32"/>
      <c r="P93" s="32"/>
      <c r="Q93" s="32"/>
    </row>
    <row r="94" spans="1:17" ht="13.8" x14ac:dyDescent="0.25">
      <c r="A94" s="32"/>
      <c r="B94" s="32"/>
      <c r="C94" s="32"/>
      <c r="D94" s="32"/>
      <c r="E94" s="32"/>
      <c r="F94" s="32"/>
      <c r="G94" s="32"/>
      <c r="H94" s="32"/>
      <c r="I94" s="32"/>
      <c r="J94" s="32"/>
      <c r="K94" s="32"/>
      <c r="L94" s="32"/>
      <c r="M94" s="32"/>
      <c r="N94" s="32"/>
      <c r="O94" s="32"/>
      <c r="P94" s="32"/>
      <c r="Q94" s="32"/>
    </row>
    <row r="95" spans="1:17" ht="13.8" x14ac:dyDescent="0.25">
      <c r="A95" s="32"/>
      <c r="B95" s="32"/>
      <c r="C95" s="32"/>
      <c r="D95" s="32"/>
      <c r="E95" s="32"/>
      <c r="F95" s="32"/>
      <c r="G95" s="32"/>
      <c r="H95" s="32"/>
      <c r="I95" s="32"/>
      <c r="J95" s="32"/>
      <c r="K95" s="32"/>
      <c r="L95" s="32"/>
      <c r="M95" s="32"/>
      <c r="N95" s="32"/>
      <c r="O95" s="32"/>
      <c r="P95" s="32"/>
      <c r="Q95" s="32"/>
    </row>
    <row r="96" spans="1:17" ht="13.8" x14ac:dyDescent="0.25">
      <c r="A96" s="32"/>
      <c r="B96" s="32"/>
      <c r="C96" s="32"/>
      <c r="D96" s="32"/>
      <c r="E96" s="32"/>
      <c r="F96" s="32"/>
      <c r="G96" s="32"/>
      <c r="H96" s="32"/>
      <c r="I96" s="32"/>
      <c r="J96" s="32"/>
      <c r="K96" s="32"/>
      <c r="L96" s="32"/>
      <c r="M96" s="32"/>
      <c r="N96" s="32"/>
      <c r="O96" s="32"/>
      <c r="P96" s="32"/>
      <c r="Q96" s="32"/>
    </row>
    <row r="97" spans="1:17" ht="13.8" x14ac:dyDescent="0.25">
      <c r="A97" s="32"/>
      <c r="B97" s="32"/>
      <c r="C97" s="32"/>
      <c r="D97" s="32"/>
      <c r="E97" s="32"/>
      <c r="F97" s="32"/>
      <c r="G97" s="32"/>
      <c r="H97" s="32"/>
      <c r="I97" s="32"/>
      <c r="J97" s="32"/>
      <c r="K97" s="32"/>
      <c r="L97" s="32"/>
      <c r="M97" s="32"/>
      <c r="N97" s="32"/>
      <c r="O97" s="32"/>
      <c r="P97" s="32"/>
      <c r="Q97" s="32"/>
    </row>
    <row r="98" spans="1:17" ht="13.8" x14ac:dyDescent="0.25">
      <c r="A98" s="32"/>
      <c r="B98" s="32"/>
      <c r="C98" s="32"/>
      <c r="D98" s="32"/>
      <c r="E98" s="32"/>
      <c r="F98" s="32"/>
      <c r="G98" s="32"/>
      <c r="H98" s="32"/>
      <c r="I98" s="32"/>
      <c r="J98" s="32"/>
      <c r="K98" s="32"/>
      <c r="L98" s="32"/>
      <c r="M98" s="32"/>
      <c r="N98" s="32"/>
      <c r="O98" s="32"/>
      <c r="P98" s="32"/>
      <c r="Q98" s="32"/>
    </row>
    <row r="99" spans="1:17" ht="13.8" x14ac:dyDescent="0.25">
      <c r="A99" s="32"/>
      <c r="B99" s="32"/>
      <c r="C99" s="32"/>
      <c r="D99" s="32"/>
      <c r="E99" s="32"/>
      <c r="F99" s="32"/>
      <c r="G99" s="32"/>
      <c r="H99" s="32"/>
      <c r="I99" s="32"/>
      <c r="J99" s="32"/>
      <c r="K99" s="32"/>
      <c r="L99" s="32"/>
      <c r="M99" s="32"/>
      <c r="N99" s="32"/>
      <c r="O99" s="32"/>
      <c r="P99" s="32"/>
      <c r="Q99" s="32"/>
    </row>
    <row r="100" spans="1:17" ht="13.8" x14ac:dyDescent="0.25">
      <c r="A100" s="32"/>
      <c r="B100" s="32"/>
      <c r="C100" s="32"/>
      <c r="D100" s="32"/>
      <c r="E100" s="32"/>
      <c r="F100" s="32"/>
      <c r="G100" s="32"/>
      <c r="H100" s="32"/>
      <c r="I100" s="32"/>
      <c r="J100" s="32"/>
      <c r="K100" s="32"/>
      <c r="L100" s="32"/>
      <c r="M100" s="32"/>
      <c r="N100" s="32"/>
      <c r="O100" s="32"/>
      <c r="P100" s="32"/>
      <c r="Q100" s="32"/>
    </row>
    <row r="101" spans="1:17" ht="13.8" x14ac:dyDescent="0.25">
      <c r="A101" s="32"/>
      <c r="B101" s="32"/>
      <c r="C101" s="32"/>
      <c r="D101" s="32"/>
      <c r="E101" s="32"/>
      <c r="F101" s="32"/>
      <c r="G101" s="32"/>
      <c r="H101" s="32"/>
      <c r="I101" s="32"/>
      <c r="J101" s="32"/>
      <c r="K101" s="32"/>
      <c r="L101" s="32"/>
      <c r="M101" s="32"/>
      <c r="N101" s="32"/>
      <c r="O101" s="32"/>
      <c r="P101" s="32"/>
      <c r="Q101" s="32"/>
    </row>
    <row r="102" spans="1:17" ht="13.8" x14ac:dyDescent="0.25">
      <c r="A102" s="32"/>
      <c r="B102" s="32"/>
      <c r="C102" s="32"/>
      <c r="D102" s="32"/>
      <c r="E102" s="32"/>
      <c r="F102" s="32"/>
      <c r="G102" s="32"/>
      <c r="H102" s="32"/>
      <c r="I102" s="32"/>
      <c r="J102" s="32"/>
      <c r="K102" s="32"/>
      <c r="L102" s="32"/>
      <c r="M102" s="32"/>
      <c r="N102" s="32"/>
      <c r="O102" s="32"/>
      <c r="P102" s="32"/>
      <c r="Q102" s="32"/>
    </row>
    <row r="103" spans="1:17" ht="13.8" x14ac:dyDescent="0.25">
      <c r="A103" s="32"/>
      <c r="B103" s="32"/>
      <c r="C103" s="32"/>
      <c r="D103" s="32"/>
      <c r="E103" s="32"/>
      <c r="F103" s="32"/>
      <c r="G103" s="32"/>
      <c r="H103" s="32"/>
      <c r="I103" s="32"/>
      <c r="J103" s="32"/>
      <c r="K103" s="32"/>
      <c r="L103" s="32"/>
      <c r="M103" s="32"/>
      <c r="N103" s="32"/>
      <c r="O103" s="32"/>
      <c r="P103" s="32"/>
      <c r="Q103" s="32"/>
    </row>
    <row r="104" spans="1:17" ht="13.8" x14ac:dyDescent="0.25">
      <c r="A104" s="32"/>
      <c r="B104" s="32"/>
      <c r="C104" s="32"/>
      <c r="D104" s="32"/>
      <c r="E104" s="32"/>
      <c r="F104" s="32"/>
      <c r="G104" s="32"/>
      <c r="H104" s="32"/>
      <c r="I104" s="32"/>
      <c r="J104" s="32"/>
      <c r="K104" s="32"/>
      <c r="L104" s="32"/>
      <c r="M104" s="32"/>
      <c r="N104" s="32"/>
      <c r="O104" s="32"/>
      <c r="P104" s="32"/>
      <c r="Q104" s="32"/>
    </row>
    <row r="105" spans="1:17" ht="13.8" x14ac:dyDescent="0.25">
      <c r="A105" s="32"/>
      <c r="B105" s="32"/>
      <c r="C105" s="32"/>
      <c r="D105" s="32"/>
      <c r="E105" s="32"/>
      <c r="F105" s="32"/>
      <c r="G105" s="32"/>
      <c r="H105" s="32"/>
      <c r="K105" s="32"/>
      <c r="L105" s="32"/>
      <c r="M105" s="32"/>
      <c r="N105" s="32"/>
      <c r="O105" s="32"/>
      <c r="P105" s="32"/>
      <c r="Q105" s="32"/>
    </row>
    <row r="106" spans="1:17" ht="13.8" x14ac:dyDescent="0.25">
      <c r="A106" s="32"/>
      <c r="B106" s="32"/>
      <c r="C106" s="32"/>
      <c r="D106" s="32"/>
      <c r="E106" s="32"/>
      <c r="F106" s="32"/>
      <c r="G106" s="32"/>
      <c r="H106" s="32"/>
      <c r="K106" s="32"/>
      <c r="L106" s="32"/>
      <c r="M106" s="32"/>
      <c r="N106" s="32"/>
      <c r="O106" s="32"/>
      <c r="P106" s="32"/>
      <c r="Q106" s="32"/>
    </row>
    <row r="107" spans="1:17" ht="13.8" x14ac:dyDescent="0.25">
      <c r="A107" s="32"/>
      <c r="B107" s="32"/>
      <c r="C107" s="32"/>
      <c r="D107" s="32"/>
      <c r="E107" s="32"/>
      <c r="F107" s="32"/>
      <c r="G107" s="32"/>
      <c r="H107" s="32"/>
      <c r="K107" s="32"/>
      <c r="L107" s="32"/>
      <c r="M107" s="32"/>
      <c r="N107" s="32"/>
      <c r="O107" s="32"/>
      <c r="P107" s="32"/>
      <c r="Q107" s="32"/>
    </row>
    <row r="108" spans="1:17" ht="13.8" x14ac:dyDescent="0.25">
      <c r="A108" s="32"/>
      <c r="B108" s="32"/>
      <c r="C108" s="32"/>
      <c r="D108" s="32"/>
      <c r="E108" s="32"/>
      <c r="F108" s="32"/>
      <c r="G108" s="32"/>
      <c r="H108" s="32"/>
      <c r="K108" s="32"/>
      <c r="L108" s="32"/>
      <c r="M108" s="32"/>
      <c r="N108" s="32"/>
      <c r="O108" s="32"/>
      <c r="P108" s="32"/>
      <c r="Q108" s="32"/>
    </row>
    <row r="109" spans="1:17" ht="13.8" x14ac:dyDescent="0.25">
      <c r="A109" s="32"/>
      <c r="B109" s="32"/>
      <c r="C109" s="32"/>
      <c r="D109" s="32"/>
      <c r="E109" s="32"/>
      <c r="F109" s="32"/>
      <c r="G109" s="32"/>
      <c r="H109" s="32"/>
      <c r="K109" s="32"/>
      <c r="L109" s="32"/>
      <c r="M109" s="32"/>
      <c r="N109" s="32"/>
      <c r="O109" s="32"/>
      <c r="P109" s="32"/>
      <c r="Q109" s="32"/>
    </row>
    <row r="110" spans="1:17" ht="13.8" x14ac:dyDescent="0.25">
      <c r="A110" s="32"/>
      <c r="B110" s="32"/>
      <c r="C110" s="32"/>
      <c r="D110" s="32"/>
      <c r="E110" s="32"/>
      <c r="F110" s="32"/>
      <c r="G110" s="32"/>
      <c r="H110" s="32"/>
      <c r="K110" s="32"/>
      <c r="L110" s="32"/>
      <c r="M110" s="32"/>
      <c r="N110" s="32"/>
      <c r="O110" s="32"/>
      <c r="P110" s="32"/>
      <c r="Q110" s="32"/>
    </row>
    <row r="111" spans="1:17" ht="13.8" x14ac:dyDescent="0.25">
      <c r="A111" s="32"/>
      <c r="B111" s="32"/>
      <c r="C111" s="32"/>
      <c r="D111" s="32"/>
      <c r="E111" s="32"/>
      <c r="F111" s="32"/>
      <c r="G111" s="32"/>
      <c r="H111" s="32"/>
      <c r="K111" s="32"/>
      <c r="L111" s="32"/>
      <c r="M111" s="32"/>
      <c r="N111" s="32"/>
      <c r="O111" s="32"/>
      <c r="P111" s="32"/>
      <c r="Q111" s="32"/>
    </row>
    <row r="112" spans="1:17" ht="13.8" x14ac:dyDescent="0.25">
      <c r="A112" s="32"/>
      <c r="B112" s="32"/>
      <c r="C112" s="32"/>
      <c r="D112" s="32"/>
      <c r="E112" s="32"/>
      <c r="F112" s="32"/>
      <c r="G112" s="32"/>
      <c r="H112" s="32"/>
      <c r="K112" s="32"/>
      <c r="L112" s="32"/>
      <c r="M112" s="32"/>
      <c r="N112" s="32"/>
      <c r="O112" s="32"/>
      <c r="P112" s="32"/>
      <c r="Q112" s="32"/>
    </row>
    <row r="113" spans="1:17" ht="13.8" x14ac:dyDescent="0.25">
      <c r="A113" s="32"/>
      <c r="B113" s="32"/>
      <c r="C113" s="32"/>
      <c r="D113" s="32"/>
      <c r="E113" s="32"/>
      <c r="F113" s="32"/>
      <c r="G113" s="32"/>
      <c r="H113" s="32"/>
      <c r="K113" s="32"/>
      <c r="L113" s="32"/>
      <c r="M113" s="32"/>
      <c r="N113" s="32"/>
      <c r="O113" s="32"/>
      <c r="P113" s="32"/>
      <c r="Q113" s="32"/>
    </row>
    <row r="114" spans="1:17" ht="13.8" x14ac:dyDescent="0.25">
      <c r="A114" s="32"/>
      <c r="B114" s="32"/>
      <c r="C114" s="32"/>
      <c r="D114" s="32"/>
      <c r="E114" s="32"/>
      <c r="F114" s="32"/>
      <c r="G114" s="32"/>
      <c r="H114" s="32"/>
      <c r="K114" s="32"/>
      <c r="L114" s="32"/>
      <c r="M114" s="32"/>
      <c r="N114" s="32"/>
      <c r="O114" s="32"/>
      <c r="P114" s="32"/>
      <c r="Q114" s="32"/>
    </row>
    <row r="115" spans="1:17" ht="13.8" x14ac:dyDescent="0.25">
      <c r="A115" s="32"/>
      <c r="B115" s="32"/>
      <c r="C115" s="32"/>
      <c r="D115" s="32"/>
      <c r="E115" s="32"/>
      <c r="F115" s="32"/>
      <c r="G115" s="32"/>
      <c r="H115" s="32"/>
      <c r="K115" s="32"/>
      <c r="L115" s="32"/>
      <c r="M115" s="32"/>
      <c r="N115" s="32"/>
      <c r="O115" s="32"/>
      <c r="P115" s="32"/>
      <c r="Q115" s="32"/>
    </row>
    <row r="116" spans="1:17" ht="13.8" x14ac:dyDescent="0.25">
      <c r="A116" s="32"/>
      <c r="B116" s="32"/>
      <c r="C116" s="32"/>
      <c r="D116" s="32"/>
      <c r="E116" s="32"/>
      <c r="F116" s="32"/>
      <c r="G116" s="32"/>
      <c r="H116" s="32"/>
      <c r="K116" s="32"/>
      <c r="L116" s="32"/>
      <c r="M116" s="32"/>
      <c r="N116" s="32"/>
      <c r="O116" s="32"/>
      <c r="P116" s="32"/>
      <c r="Q116" s="32"/>
    </row>
    <row r="117" spans="1:17" ht="13.8" x14ac:dyDescent="0.25">
      <c r="A117" s="32"/>
      <c r="B117" s="32"/>
      <c r="C117" s="32"/>
      <c r="D117" s="32"/>
      <c r="E117" s="32"/>
      <c r="F117" s="32"/>
      <c r="G117" s="32"/>
      <c r="H117" s="32"/>
      <c r="K117" s="32"/>
      <c r="L117" s="32"/>
      <c r="M117" s="32"/>
      <c r="N117" s="32"/>
      <c r="O117" s="32"/>
      <c r="P117" s="32"/>
      <c r="Q117" s="32"/>
    </row>
    <row r="118" spans="1:17" ht="13.8" x14ac:dyDescent="0.25">
      <c r="A118" s="32"/>
      <c r="B118" s="32"/>
      <c r="C118" s="32"/>
      <c r="D118" s="32"/>
      <c r="E118" s="32"/>
      <c r="F118" s="32"/>
      <c r="G118" s="32"/>
    </row>
    <row r="119" spans="1:17" ht="13.8" x14ac:dyDescent="0.25">
      <c r="A119" s="32"/>
      <c r="B119" s="32"/>
      <c r="C119" s="32"/>
      <c r="D119" s="32"/>
      <c r="E119" s="32"/>
      <c r="F119" s="32"/>
      <c r="G119" s="32"/>
    </row>
    <row r="120" spans="1:17" ht="13.8" x14ac:dyDescent="0.25">
      <c r="A120" s="32"/>
      <c r="B120" s="32"/>
      <c r="C120" s="32"/>
      <c r="D120" s="32"/>
      <c r="E120" s="32"/>
      <c r="F120" s="32"/>
      <c r="G120" s="32"/>
    </row>
    <row r="121" spans="1:17" ht="13.8" x14ac:dyDescent="0.25">
      <c r="A121" s="32"/>
      <c r="B121" s="32"/>
      <c r="C121" s="32"/>
      <c r="D121" s="32"/>
      <c r="E121" s="32"/>
      <c r="F121" s="32"/>
      <c r="G121" s="32"/>
    </row>
    <row r="122" spans="1:17" ht="13.8" x14ac:dyDescent="0.25">
      <c r="A122" s="32"/>
      <c r="B122" s="32"/>
      <c r="C122" s="32"/>
      <c r="D122" s="32"/>
      <c r="E122" s="32"/>
      <c r="F122" s="32"/>
      <c r="G122" s="32"/>
    </row>
    <row r="123" spans="1:17" ht="13.8" x14ac:dyDescent="0.25">
      <c r="A123" s="32"/>
      <c r="B123" s="32"/>
      <c r="C123" s="32"/>
      <c r="D123" s="32"/>
      <c r="E123" s="32"/>
      <c r="F123" s="32"/>
      <c r="G123" s="32"/>
    </row>
    <row r="124" spans="1:17" ht="13.8" x14ac:dyDescent="0.25">
      <c r="A124" s="32"/>
      <c r="B124" s="32"/>
      <c r="C124" s="32"/>
      <c r="D124" s="32"/>
      <c r="E124" s="32"/>
      <c r="F124" s="32"/>
      <c r="G124" s="32"/>
    </row>
    <row r="125" spans="1:17" ht="13.8" x14ac:dyDescent="0.25">
      <c r="A125" s="32"/>
      <c r="B125" s="32"/>
      <c r="C125" s="32"/>
      <c r="D125" s="32"/>
      <c r="E125" s="32"/>
      <c r="F125" s="32"/>
      <c r="G125" s="32"/>
    </row>
    <row r="126" spans="1:17" ht="13.8" x14ac:dyDescent="0.25">
      <c r="A126" s="32"/>
      <c r="B126" s="32"/>
      <c r="C126" s="32"/>
      <c r="D126" s="32"/>
      <c r="E126" s="32"/>
      <c r="F126" s="32"/>
      <c r="G126" s="32"/>
    </row>
    <row r="127" spans="1:17" ht="13.8" x14ac:dyDescent="0.25">
      <c r="A127" s="32"/>
      <c r="B127" s="32"/>
      <c r="C127" s="32"/>
      <c r="D127" s="32"/>
      <c r="E127" s="32"/>
      <c r="F127" s="32"/>
      <c r="G127" s="32"/>
    </row>
    <row r="128" spans="1: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row r="134" spans="1:7" ht="13.8" x14ac:dyDescent="0.25">
      <c r="A134" s="32"/>
      <c r="B134" s="32"/>
      <c r="C134" s="32"/>
      <c r="D134" s="32"/>
      <c r="E134" s="32"/>
      <c r="F134" s="32"/>
      <c r="G134" s="32"/>
    </row>
    <row r="135" spans="1:7" ht="13.8" x14ac:dyDescent="0.25">
      <c r="A135" s="32"/>
      <c r="B135" s="32"/>
      <c r="C135" s="32"/>
      <c r="D135" s="32"/>
      <c r="E135" s="32"/>
      <c r="F135" s="32"/>
      <c r="G135" s="32"/>
    </row>
    <row r="136" spans="1:7" ht="13.8" x14ac:dyDescent="0.25">
      <c r="A136" s="32"/>
      <c r="B136" s="32"/>
      <c r="C136" s="32"/>
      <c r="D136" s="32"/>
      <c r="E136" s="32"/>
      <c r="F136" s="32"/>
      <c r="G136" s="32"/>
    </row>
    <row r="137" spans="1:7" ht="13.8" x14ac:dyDescent="0.25">
      <c r="A137" s="32"/>
      <c r="B137" s="32"/>
      <c r="C137" s="32"/>
      <c r="D137" s="32"/>
      <c r="E137" s="32"/>
      <c r="F137" s="32"/>
      <c r="G137" s="32"/>
    </row>
    <row r="138" spans="1:7" ht="13.8" x14ac:dyDescent="0.25">
      <c r="A138" s="32"/>
      <c r="B138" s="32"/>
      <c r="C138" s="32"/>
      <c r="D138" s="32"/>
      <c r="E138" s="32"/>
      <c r="F138" s="32"/>
      <c r="G138" s="32"/>
    </row>
    <row r="139" spans="1:7" ht="13.8" x14ac:dyDescent="0.25">
      <c r="A139" s="32"/>
      <c r="B139" s="32"/>
      <c r="C139" s="32"/>
      <c r="D139" s="32"/>
      <c r="E139" s="32"/>
      <c r="F139" s="32"/>
      <c r="G139" s="32"/>
    </row>
    <row r="140" spans="1:7" ht="13.8" x14ac:dyDescent="0.25">
      <c r="A140" s="32"/>
      <c r="B140" s="32"/>
      <c r="C140" s="32"/>
      <c r="D140" s="32"/>
      <c r="E140" s="32"/>
      <c r="F140" s="32"/>
      <c r="G140" s="32"/>
    </row>
    <row r="141" spans="1:7" ht="13.8" x14ac:dyDescent="0.25">
      <c r="A141" s="32"/>
      <c r="B141" s="32"/>
      <c r="C141" s="32"/>
      <c r="D141" s="32"/>
      <c r="E141" s="32"/>
      <c r="F141" s="32"/>
      <c r="G141" s="32"/>
    </row>
    <row r="142" spans="1:7" ht="13.8" x14ac:dyDescent="0.25">
      <c r="A142" s="32"/>
      <c r="B142" s="32"/>
      <c r="C142" s="32"/>
      <c r="D142" s="32"/>
      <c r="E142" s="32"/>
      <c r="F142" s="32"/>
      <c r="G142" s="32"/>
    </row>
    <row r="143" spans="1:7" ht="13.8" x14ac:dyDescent="0.25">
      <c r="A143" s="32"/>
      <c r="B143" s="32"/>
      <c r="C143" s="32"/>
      <c r="D143" s="32"/>
      <c r="E143" s="32"/>
      <c r="F143" s="32"/>
      <c r="G143" s="32"/>
    </row>
    <row r="144" spans="1:7" ht="13.8" x14ac:dyDescent="0.25">
      <c r="A144" s="32"/>
      <c r="B144" s="32"/>
      <c r="C144" s="32"/>
      <c r="D144" s="32"/>
      <c r="E144" s="32"/>
      <c r="F144" s="32"/>
      <c r="G144" s="32"/>
    </row>
    <row r="145" spans="1:7" ht="13.8" x14ac:dyDescent="0.25">
      <c r="A145" s="32"/>
      <c r="B145" s="32"/>
      <c r="C145" s="32"/>
      <c r="D145" s="32"/>
      <c r="E145" s="32"/>
      <c r="F145" s="32"/>
      <c r="G145" s="32"/>
    </row>
    <row r="146" spans="1:7" ht="13.8" x14ac:dyDescent="0.25">
      <c r="A146" s="32"/>
      <c r="B146" s="32"/>
      <c r="C146" s="32"/>
      <c r="D146" s="32"/>
      <c r="E146" s="32"/>
      <c r="F146" s="32"/>
      <c r="G146" s="32"/>
    </row>
    <row r="147" spans="1:7" ht="13.8" x14ac:dyDescent="0.25">
      <c r="A147" s="32"/>
      <c r="B147" s="32"/>
      <c r="C147" s="32"/>
      <c r="D147" s="32"/>
      <c r="E147" s="32"/>
      <c r="F147" s="32"/>
      <c r="G147" s="32"/>
    </row>
    <row r="148" spans="1:7" ht="13.8" x14ac:dyDescent="0.25">
      <c r="A148" s="32"/>
      <c r="B148" s="32"/>
      <c r="C148" s="32"/>
      <c r="D148" s="32"/>
      <c r="E148" s="32"/>
      <c r="F148" s="32"/>
      <c r="G148" s="32"/>
    </row>
    <row r="149" spans="1:7" ht="13.8" x14ac:dyDescent="0.25">
      <c r="A149" s="32"/>
      <c r="B149" s="32"/>
      <c r="C149" s="32"/>
      <c r="D149" s="32"/>
      <c r="E149" s="32"/>
      <c r="F149" s="32"/>
      <c r="G149" s="32"/>
    </row>
    <row r="150" spans="1:7" ht="13.8" x14ac:dyDescent="0.25">
      <c r="A150" s="32"/>
      <c r="B150" s="32"/>
      <c r="C150" s="32"/>
      <c r="D150" s="32"/>
      <c r="E150" s="32"/>
      <c r="F150" s="32"/>
      <c r="G150" s="32"/>
    </row>
    <row r="151" spans="1:7" ht="13.8" x14ac:dyDescent="0.25">
      <c r="A151" s="32"/>
      <c r="B151" s="32"/>
      <c r="C151" s="32"/>
      <c r="D151" s="32"/>
      <c r="E151" s="32"/>
      <c r="F151" s="32"/>
      <c r="G151" s="32"/>
    </row>
    <row r="152" spans="1:7" ht="13.8" x14ac:dyDescent="0.25">
      <c r="A152" s="32"/>
      <c r="B152" s="32"/>
      <c r="C152" s="32"/>
      <c r="D152" s="32"/>
      <c r="E152" s="32"/>
      <c r="F152" s="32"/>
      <c r="G152" s="32"/>
    </row>
    <row r="153" spans="1:7" ht="13.8" x14ac:dyDescent="0.25">
      <c r="A153" s="32"/>
      <c r="B153" s="32"/>
      <c r="C153" s="32"/>
      <c r="D153" s="32"/>
      <c r="E153" s="32"/>
      <c r="F153" s="32"/>
      <c r="G153" s="32"/>
    </row>
    <row r="154" spans="1:7" ht="13.8" x14ac:dyDescent="0.25">
      <c r="A154" s="32"/>
      <c r="B154" s="32"/>
      <c r="C154" s="32"/>
      <c r="D154" s="32"/>
      <c r="E154" s="32"/>
      <c r="F154" s="32"/>
      <c r="G154" s="32"/>
    </row>
    <row r="155" spans="1:7" ht="13.8" x14ac:dyDescent="0.25">
      <c r="A155" s="32"/>
      <c r="B155" s="32"/>
      <c r="C155" s="32"/>
      <c r="D155" s="32"/>
      <c r="E155" s="32"/>
      <c r="F155" s="32"/>
      <c r="G155" s="32"/>
    </row>
    <row r="156" spans="1:7" ht="13.8" x14ac:dyDescent="0.25">
      <c r="A156" s="32"/>
      <c r="B156" s="32"/>
      <c r="C156" s="32"/>
      <c r="D156" s="32"/>
      <c r="E156" s="32"/>
      <c r="F156" s="32"/>
      <c r="G156" s="32"/>
    </row>
    <row r="157" spans="1:7" ht="13.8" x14ac:dyDescent="0.25">
      <c r="A157" s="32"/>
      <c r="B157" s="32"/>
      <c r="C157" s="32"/>
      <c r="D157" s="32"/>
      <c r="E157" s="32"/>
      <c r="F157" s="32"/>
      <c r="G157" s="32"/>
    </row>
    <row r="158" spans="1:7" ht="13.8" x14ac:dyDescent="0.25">
      <c r="B158" s="32"/>
      <c r="C158" s="32"/>
      <c r="D158" s="32"/>
      <c r="E158" s="32"/>
      <c r="F158" s="32"/>
      <c r="G158" s="32"/>
    </row>
    <row r="159" spans="1:7" ht="13.8" x14ac:dyDescent="0.25">
      <c r="B159" s="32"/>
      <c r="C159" s="32"/>
      <c r="D159" s="32"/>
      <c r="E159" s="32"/>
      <c r="F159" s="32"/>
      <c r="G159" s="32"/>
    </row>
    <row r="160" spans="1:7" ht="13.8" x14ac:dyDescent="0.25">
      <c r="B160" s="32"/>
      <c r="C160" s="32"/>
      <c r="D160" s="32"/>
      <c r="E160" s="32"/>
      <c r="F160" s="32"/>
      <c r="G160" s="32"/>
    </row>
    <row r="161" spans="2:7" ht="13.8" x14ac:dyDescent="0.25">
      <c r="B161" s="32"/>
      <c r="C161" s="32"/>
      <c r="D161" s="32"/>
      <c r="E161" s="32"/>
      <c r="F161" s="32"/>
      <c r="G161" s="32"/>
    </row>
    <row r="162" spans="2:7" ht="13.8" x14ac:dyDescent="0.25">
      <c r="B162" s="32"/>
      <c r="C162" s="32"/>
      <c r="D162" s="32"/>
      <c r="E162" s="32"/>
      <c r="F162" s="32"/>
      <c r="G162" s="32"/>
    </row>
    <row r="163" spans="2:7" ht="13.8" x14ac:dyDescent="0.25">
      <c r="B163" s="32"/>
      <c r="C163" s="32"/>
      <c r="D163" s="32"/>
      <c r="E163" s="32"/>
      <c r="F163" s="32"/>
      <c r="G163" s="32"/>
    </row>
    <row r="164" spans="2:7" ht="13.8" x14ac:dyDescent="0.25">
      <c r="B164" s="32"/>
      <c r="C164" s="32"/>
      <c r="D164" s="32"/>
      <c r="E164" s="32"/>
      <c r="F164" s="32"/>
      <c r="G164" s="32"/>
    </row>
    <row r="165" spans="2:7" ht="13.8" x14ac:dyDescent="0.25"/>
    <row r="166" spans="2:7" ht="14.1" customHeight="1" x14ac:dyDescent="0.25"/>
    <row r="167" spans="2:7" ht="14.1" customHeight="1" x14ac:dyDescent="0.25"/>
    <row r="168" spans="2:7" ht="14.1" customHeight="1" x14ac:dyDescent="0.25"/>
    <row r="169" spans="2:7" ht="14.1" customHeight="1" x14ac:dyDescent="0.25"/>
    <row r="170" spans="2:7" ht="14.1" customHeight="1" x14ac:dyDescent="0.25"/>
    <row r="171" spans="2:7" ht="14.1" customHeight="1" x14ac:dyDescent="0.25"/>
    <row r="172" spans="2:7" ht="14.1" customHeight="1" x14ac:dyDescent="0.25"/>
    <row r="173" spans="2:7" ht="14.1" customHeight="1" x14ac:dyDescent="0.25"/>
    <row r="174" spans="2:7" ht="14.1" customHeight="1" x14ac:dyDescent="0.25"/>
    <row r="175" spans="2:7" ht="14.1" customHeight="1" x14ac:dyDescent="0.25"/>
    <row r="176" spans="2:7" ht="14.1" customHeight="1" x14ac:dyDescent="0.25"/>
    <row r="177" ht="14.1" customHeight="1" x14ac:dyDescent="0.25"/>
    <row r="178" ht="14.1" customHeight="1" x14ac:dyDescent="0.25"/>
    <row r="179" ht="14.1" customHeight="1" x14ac:dyDescent="0.25"/>
    <row r="180" ht="14.1" customHeight="1" x14ac:dyDescent="0.25"/>
    <row r="181" ht="14.1" customHeight="1" x14ac:dyDescent="0.25"/>
    <row r="182" ht="14.1" customHeight="1" x14ac:dyDescent="0.25"/>
    <row r="183" ht="14.1" customHeight="1" x14ac:dyDescent="0.25"/>
    <row r="184" ht="14.1" customHeight="1" x14ac:dyDescent="0.25"/>
    <row r="185" ht="14.1" customHeight="1" x14ac:dyDescent="0.25"/>
    <row r="186" ht="14.1" customHeight="1" x14ac:dyDescent="0.25"/>
    <row r="187" ht="14.1" customHeight="1" x14ac:dyDescent="0.25"/>
    <row r="188" ht="14.1" customHeight="1" x14ac:dyDescent="0.25"/>
    <row r="189" ht="14.1" customHeight="1" x14ac:dyDescent="0.25"/>
    <row r="190" ht="14.1" customHeight="1" x14ac:dyDescent="0.25"/>
    <row r="191" ht="14.1" customHeight="1" x14ac:dyDescent="0.25"/>
    <row r="192"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row r="307" ht="14.1" customHeight="1" x14ac:dyDescent="0.25"/>
    <row r="308" ht="14.1" customHeight="1" x14ac:dyDescent="0.25"/>
  </sheetData>
  <sheetProtection algorithmName="SHA-512" hashValue="E8qs1feo5fNMVbi9URwsOgF1tztzVT1Yo4wM12IljEHF8ynLB/Jv/90RNFz8UDO965YdmexELBoD5h8WBilXxA==" saltValue="pzs4dFM96FegyYlZ35MgvQ==" spinCount="100000" sheet="1" objects="1" scenarios="1"/>
  <mergeCells count="19">
    <mergeCell ref="G42:H42"/>
    <mergeCell ref="C5:F5"/>
    <mergeCell ref="C7:F7"/>
    <mergeCell ref="G30:H30"/>
    <mergeCell ref="C8:F8"/>
    <mergeCell ref="G12:H12"/>
    <mergeCell ref="C6:F6"/>
    <mergeCell ref="B12:E12"/>
    <mergeCell ref="B20:E20"/>
    <mergeCell ref="B30:E30"/>
    <mergeCell ref="B2:H2"/>
    <mergeCell ref="G20:H20"/>
    <mergeCell ref="G3:H4"/>
    <mergeCell ref="G5:H5"/>
    <mergeCell ref="G6:H6"/>
    <mergeCell ref="G7:H7"/>
    <mergeCell ref="G8:H8"/>
    <mergeCell ref="B3:B4"/>
    <mergeCell ref="C3:F4"/>
  </mergeCells>
  <conditionalFormatting sqref="B14:E14 B22:E25 B44:E47">
    <cfRule type="expression" dxfId="589" priority="368">
      <formula>$E14&gt;0</formula>
    </cfRule>
    <cfRule type="expression" dxfId="588" priority="369">
      <formula>$E14&lt;0</formula>
    </cfRule>
  </conditionalFormatting>
  <conditionalFormatting sqref="B32:E37">
    <cfRule type="expression" dxfId="587" priority="8">
      <formula>$E32&gt;0</formula>
    </cfRule>
    <cfRule type="expression" dxfId="586" priority="9">
      <formula>$E32&lt;0</formula>
    </cfRule>
  </conditionalFormatting>
  <conditionalFormatting sqref="G5:G8">
    <cfRule type="containsText" dxfId="585" priority="47" operator="containsText" text="Yes">
      <formula>NOT(ISERROR(SEARCH("Yes",G5)))</formula>
    </cfRule>
    <cfRule type="containsText" dxfId="584" priority="48" operator="containsText" text="No">
      <formula>NOT(ISERROR(SEARCH("No",G5)))</formula>
    </cfRule>
  </conditionalFormatting>
  <conditionalFormatting sqref="G25 G36:G37">
    <cfRule type="expression" dxfId="583" priority="36">
      <formula>$G25&gt;0</formula>
    </cfRule>
    <cfRule type="expression" dxfId="582" priority="37">
      <formula>$G25&lt;0</formula>
    </cfRule>
  </conditionalFormatting>
  <conditionalFormatting sqref="H13">
    <cfRule type="cellIs" dxfId="581" priority="45" operator="lessThan">
      <formula>0</formula>
    </cfRule>
  </conditionalFormatting>
  <conditionalFormatting sqref="H13:H14">
    <cfRule type="cellIs" dxfId="580" priority="44" operator="greaterThan">
      <formula>0</formula>
    </cfRule>
  </conditionalFormatting>
  <conditionalFormatting sqref="H14">
    <cfRule type="cellIs" dxfId="579" priority="43" operator="lessThan">
      <formula>0</formula>
    </cfRule>
  </conditionalFormatting>
  <conditionalFormatting sqref="H21">
    <cfRule type="cellIs" dxfId="578" priority="18" operator="lessThan">
      <formula>0</formula>
    </cfRule>
  </conditionalFormatting>
  <conditionalFormatting sqref="H21:H23">
    <cfRule type="cellIs" dxfId="577" priority="3" operator="greaterThan">
      <formula>0</formula>
    </cfRule>
  </conditionalFormatting>
  <conditionalFormatting sqref="H22">
    <cfRule type="cellIs" dxfId="576" priority="19" operator="lessThan">
      <formula>0</formula>
    </cfRule>
  </conditionalFormatting>
  <conditionalFormatting sqref="H23">
    <cfRule type="cellIs" dxfId="575" priority="2" operator="lessThan">
      <formula>0</formula>
    </cfRule>
  </conditionalFormatting>
  <conditionalFormatting sqref="H31:H33">
    <cfRule type="cellIs" dxfId="574" priority="5" operator="lessThan">
      <formula>0</formula>
    </cfRule>
    <cfRule type="cellIs" dxfId="573" priority="6" operator="greaterThan">
      <formula>0</formula>
    </cfRule>
  </conditionalFormatting>
  <conditionalFormatting sqref="H35 H43:H44">
    <cfRule type="cellIs" dxfId="572" priority="41" operator="lessThan">
      <formula>0</formula>
    </cfRule>
    <cfRule type="cellIs" dxfId="571" priority="42" operator="greaterThan">
      <formula>0</formula>
    </cfRule>
  </conditionalFormatting>
  <conditionalFormatting sqref="I22">
    <cfRule type="cellIs" dxfId="570" priority="1" operator="equal">
      <formula>"Trading Rules Not Satisfied"</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x14ac:dyDescent="0.25"/>
  <cols>
    <col min="1" max="1" width="17" style="30" customWidth="1"/>
    <col min="2" max="2" width="104.77734375" style="30" bestFit="1" customWidth="1"/>
    <col min="3" max="3" width="24.44140625" style="30" bestFit="1" customWidth="1"/>
    <col min="4" max="4" width="10.5546875" style="30" bestFit="1" customWidth="1"/>
    <col min="5" max="5" width="10.21875" style="30" bestFit="1" customWidth="1"/>
    <col min="6" max="6" width="18.21875" style="30" customWidth="1"/>
    <col min="7" max="7" width="31" style="30" customWidth="1"/>
    <col min="8" max="8" width="15" style="30" customWidth="1"/>
    <col min="9" max="9" width="49.44140625" style="30" customWidth="1"/>
    <col min="10" max="10" width="10.77734375" style="30" customWidth="1"/>
    <col min="11" max="11" width="2" style="30" customWidth="1"/>
    <col min="12" max="12" width="2.5546875" style="30" customWidth="1"/>
    <col min="13" max="13" width="4.21875" style="30" customWidth="1"/>
    <col min="14" max="16" width="9.21875" style="30" customWidth="1"/>
    <col min="17" max="17" width="10.5546875" style="30" customWidth="1"/>
    <col min="18" max="20" width="9.21875" style="30" customWidth="1"/>
    <col min="21" max="22" width="0" style="30" hidden="1" customWidth="1"/>
    <col min="23" max="16384" width="9.218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25" t="s">
        <v>207</v>
      </c>
      <c r="C2" s="1326"/>
      <c r="D2" s="1326"/>
      <c r="E2" s="1326"/>
      <c r="F2" s="1326"/>
      <c r="G2" s="1326"/>
      <c r="H2" s="1327"/>
      <c r="I2" s="32"/>
      <c r="J2" s="32"/>
      <c r="K2" s="32"/>
      <c r="L2" s="32"/>
      <c r="M2" s="32"/>
      <c r="N2" s="32"/>
      <c r="O2" s="32"/>
      <c r="P2" s="32"/>
      <c r="Q2" s="32"/>
    </row>
    <row r="3" spans="1:17" ht="15" customHeight="1" x14ac:dyDescent="0.25">
      <c r="A3" s="32"/>
      <c r="B3" s="1315" t="s">
        <v>208</v>
      </c>
      <c r="C3" s="1317" t="s">
        <v>209</v>
      </c>
      <c r="D3" s="1317"/>
      <c r="E3" s="1317"/>
      <c r="F3" s="1317"/>
      <c r="G3" s="1317" t="s">
        <v>210</v>
      </c>
      <c r="H3" s="1313"/>
      <c r="I3" s="219"/>
      <c r="J3" s="219"/>
      <c r="K3" s="219"/>
      <c r="L3" s="32"/>
      <c r="M3" s="32"/>
      <c r="N3" s="32"/>
      <c r="O3" s="32"/>
      <c r="P3" s="32"/>
      <c r="Q3" s="32"/>
    </row>
    <row r="4" spans="1:17" ht="14.25" customHeight="1" x14ac:dyDescent="0.25">
      <c r="A4" s="32"/>
      <c r="B4" s="1316"/>
      <c r="C4" s="1318"/>
      <c r="D4" s="1318"/>
      <c r="E4" s="1318"/>
      <c r="F4" s="1318"/>
      <c r="G4" s="1318"/>
      <c r="H4" s="1314"/>
      <c r="I4" s="219"/>
      <c r="J4" s="219"/>
      <c r="K4" s="219"/>
      <c r="L4" s="32"/>
      <c r="M4" s="32"/>
      <c r="N4" s="32"/>
      <c r="O4" s="32"/>
      <c r="P4" s="32"/>
      <c r="Q4" s="32"/>
    </row>
    <row r="5" spans="1:17" ht="20.399999999999999" x14ac:dyDescent="0.25">
      <c r="A5" s="32"/>
      <c r="B5" s="99" t="s">
        <v>211</v>
      </c>
      <c r="C5" s="1348" t="s">
        <v>212</v>
      </c>
      <c r="D5" s="1348"/>
      <c r="E5" s="1348"/>
      <c r="F5" s="1348"/>
      <c r="G5" s="1346" t="str">
        <f>IFERROR(IF(E14&lt;0,"No ▲","Yes ✓"),"")</f>
        <v>Yes ✓</v>
      </c>
      <c r="H5" s="1347"/>
      <c r="I5" s="219"/>
      <c r="J5" s="219"/>
      <c r="K5" s="219"/>
      <c r="L5" s="32"/>
      <c r="M5" s="32"/>
      <c r="N5" s="32"/>
      <c r="O5" s="32"/>
      <c r="P5" s="32"/>
      <c r="Q5" s="32"/>
    </row>
    <row r="6" spans="1:17" ht="22.5" customHeight="1" x14ac:dyDescent="0.25">
      <c r="A6" s="32"/>
      <c r="B6" s="99" t="s">
        <v>213</v>
      </c>
      <c r="C6" s="1349" t="s">
        <v>240</v>
      </c>
      <c r="D6" s="1349"/>
      <c r="E6" s="1349"/>
      <c r="F6" s="1349"/>
      <c r="G6" s="1346" t="str">
        <f>IF(H22&lt;0, "No ▲","Yes ✓")</f>
        <v>Yes ✓</v>
      </c>
      <c r="H6" s="1347"/>
      <c r="I6" s="32"/>
      <c r="J6" s="32"/>
      <c r="K6" s="32"/>
      <c r="L6" s="32"/>
      <c r="M6" s="32"/>
      <c r="N6" s="32"/>
      <c r="O6" s="32"/>
      <c r="P6" s="32"/>
      <c r="Q6" s="32"/>
    </row>
    <row r="7" spans="1:17" ht="19.5" customHeight="1" x14ac:dyDescent="0.25">
      <c r="A7" s="32"/>
      <c r="B7" s="99" t="s">
        <v>70</v>
      </c>
      <c r="C7" s="1349" t="s">
        <v>240</v>
      </c>
      <c r="D7" s="1349"/>
      <c r="E7" s="1349"/>
      <c r="F7" s="1349"/>
      <c r="G7" s="1333" t="str">
        <f>IF(H30&lt;0, "No ▲","Yes ✓")</f>
        <v>Yes ✓</v>
      </c>
      <c r="H7" s="1334"/>
      <c r="I7" s="32"/>
      <c r="J7" s="32"/>
      <c r="K7" s="32"/>
      <c r="L7" s="32"/>
      <c r="M7" s="32"/>
      <c r="N7" s="32"/>
      <c r="O7" s="32"/>
      <c r="P7" s="32"/>
      <c r="Q7" s="32"/>
    </row>
    <row r="8" spans="1:17" ht="18.75" customHeight="1" thickBot="1" x14ac:dyDescent="0.3">
      <c r="A8" s="32"/>
      <c r="B8" s="74" t="s">
        <v>216</v>
      </c>
      <c r="C8" s="1350" t="s">
        <v>247</v>
      </c>
      <c r="D8" s="1350"/>
      <c r="E8" s="1350"/>
      <c r="F8" s="1350"/>
      <c r="G8" s="1335" t="str">
        <f>IF(H42&lt;0,"No ▲","Yes ✓")</f>
        <v>Yes ✓</v>
      </c>
      <c r="H8" s="1336"/>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48.6" customHeight="1" thickBot="1" x14ac:dyDescent="0.3">
      <c r="A11" s="32"/>
      <c r="B11" s="1325" t="s">
        <v>218</v>
      </c>
      <c r="C11" s="1326"/>
      <c r="D11" s="1326"/>
      <c r="E11" s="1327"/>
      <c r="F11" s="606"/>
      <c r="G11" s="1331" t="s">
        <v>219</v>
      </c>
      <c r="H11" s="1332"/>
      <c r="K11" s="32"/>
      <c r="L11" s="32"/>
      <c r="M11" s="32"/>
      <c r="N11" s="32"/>
      <c r="O11" s="32"/>
      <c r="P11" s="32"/>
      <c r="Q11" s="32"/>
    </row>
    <row r="12" spans="1:17" s="33" customFormat="1" ht="63" thickBot="1" x14ac:dyDescent="0.3">
      <c r="A12" s="32"/>
      <c r="B12" s="70" t="s">
        <v>114</v>
      </c>
      <c r="C12" s="71" t="s">
        <v>221</v>
      </c>
      <c r="D12" s="71" t="s">
        <v>147</v>
      </c>
      <c r="E12" s="72" t="s">
        <v>222</v>
      </c>
      <c r="F12" s="602"/>
      <c r="G12" s="716" t="s">
        <v>224</v>
      </c>
      <c r="H12" s="717">
        <f>SUMIF($E$13:$E$13,"&gt;0")</f>
        <v>0</v>
      </c>
      <c r="K12" s="32"/>
      <c r="L12" s="32"/>
      <c r="M12" s="32"/>
      <c r="N12" s="32"/>
      <c r="O12" s="32"/>
      <c r="P12" s="32"/>
      <c r="Q12" s="32"/>
    </row>
    <row r="13" spans="1:17" ht="27.6" customHeight="1" thickBot="1" x14ac:dyDescent="0.3">
      <c r="A13" s="32"/>
      <c r="B13" s="273" t="str">
        <f>'G-2 Habitat groups'!A172</f>
        <v>Priority habitat</v>
      </c>
      <c r="C13" s="355">
        <f>'G-2 Habitat groups'!R172</f>
        <v>0</v>
      </c>
      <c r="D13" s="355">
        <f>'G-2 Habitat groups'!AD172</f>
        <v>0</v>
      </c>
      <c r="E13" s="599">
        <f>'G-2 Habitat groups'!AF172</f>
        <v>0</v>
      </c>
      <c r="F13" s="604"/>
      <c r="H13" s="32"/>
      <c r="I13" s="1351"/>
      <c r="J13" s="1351"/>
      <c r="K13" s="32"/>
      <c r="L13" s="32"/>
      <c r="M13" s="32"/>
      <c r="N13" s="32"/>
      <c r="O13" s="32"/>
      <c r="P13" s="32"/>
      <c r="Q13" s="32"/>
    </row>
    <row r="14" spans="1:17" ht="14.4" thickBot="1" x14ac:dyDescent="0.3">
      <c r="A14" s="32"/>
      <c r="B14" s="32"/>
      <c r="C14" s="609">
        <f>SUM(C13:C13)</f>
        <v>0</v>
      </c>
      <c r="D14" s="610">
        <f>SUM(D13:D13)</f>
        <v>0</v>
      </c>
      <c r="E14" s="344">
        <f>SUM(E13:E13)</f>
        <v>0</v>
      </c>
      <c r="F14" s="563"/>
      <c r="H14" s="32"/>
      <c r="I14" s="32"/>
      <c r="J14" s="32"/>
      <c r="K14" s="32"/>
      <c r="L14" s="32"/>
      <c r="M14" s="32"/>
      <c r="N14" s="32"/>
      <c r="O14" s="32"/>
      <c r="P14" s="32"/>
      <c r="Q14" s="32"/>
    </row>
    <row r="15" spans="1:17" ht="13.8" x14ac:dyDescent="0.25">
      <c r="A15" s="32"/>
      <c r="B15" s="32"/>
      <c r="C15" s="32"/>
      <c r="D15" s="32"/>
      <c r="E15" s="32"/>
      <c r="F15" s="32"/>
      <c r="G15" s="32"/>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45.6" customHeight="1" thickBot="1" x14ac:dyDescent="0.3">
      <c r="A20" s="32"/>
      <c r="B20" s="1325" t="s">
        <v>225</v>
      </c>
      <c r="C20" s="1326"/>
      <c r="D20" s="1326"/>
      <c r="E20" s="1327"/>
      <c r="F20" s="606"/>
      <c r="G20" s="1304" t="s">
        <v>226</v>
      </c>
      <c r="H20" s="1305"/>
      <c r="K20" s="32"/>
      <c r="L20" s="32"/>
      <c r="M20" s="32"/>
    </row>
    <row r="21" spans="1:17" ht="62.4" x14ac:dyDescent="0.25">
      <c r="A21" s="32"/>
      <c r="B21" s="70" t="s">
        <v>114</v>
      </c>
      <c r="C21" s="71" t="s">
        <v>221</v>
      </c>
      <c r="D21" s="71" t="s">
        <v>147</v>
      </c>
      <c r="E21" s="72" t="s">
        <v>222</v>
      </c>
      <c r="G21" s="73" t="s">
        <v>228</v>
      </c>
      <c r="H21" s="350">
        <f>IF(E23&gt;0, E23, 0)</f>
        <v>0</v>
      </c>
      <c r="K21" s="32"/>
      <c r="L21" s="32"/>
      <c r="M21" s="32"/>
      <c r="N21" s="32"/>
      <c r="O21" s="32"/>
    </row>
    <row r="22" spans="1:17" ht="28.2" thickBot="1" x14ac:dyDescent="0.3">
      <c r="A22" s="32"/>
      <c r="B22" s="273" t="str">
        <f>'G-2 Habitat groups'!A173</f>
        <v>Other rivers and streams</v>
      </c>
      <c r="C22" s="355">
        <f>'G-2 Habitat groups'!R173</f>
        <v>0</v>
      </c>
      <c r="D22" s="355">
        <f>'G-2 Habitat groups'!AD173</f>
        <v>0</v>
      </c>
      <c r="E22" s="599">
        <f>'G-2 Habitat groups'!AF173</f>
        <v>0</v>
      </c>
      <c r="G22" s="74" t="s">
        <v>229</v>
      </c>
      <c r="H22" s="351">
        <f>IF(E23&lt;0, E23, 0)</f>
        <v>0</v>
      </c>
      <c r="K22" s="32"/>
      <c r="L22" s="32"/>
      <c r="M22" s="32"/>
      <c r="N22" s="32"/>
      <c r="O22" s="32"/>
    </row>
    <row r="23" spans="1:17" ht="14.4" thickBot="1" x14ac:dyDescent="0.3">
      <c r="A23" s="32"/>
      <c r="C23" s="609">
        <f>SUM(C22:C22)</f>
        <v>0</v>
      </c>
      <c r="D23" s="610">
        <f>SUM(D22:D22)</f>
        <v>0</v>
      </c>
      <c r="E23" s="344">
        <f>SUM(E22:E22)</f>
        <v>0</v>
      </c>
      <c r="G23" s="563"/>
      <c r="H23" s="32"/>
      <c r="I23" s="32"/>
      <c r="J23" s="32"/>
      <c r="K23" s="32"/>
      <c r="L23" s="32"/>
      <c r="M23" s="32"/>
      <c r="N23" s="32"/>
      <c r="O23" s="32"/>
      <c r="P23" s="32"/>
      <c r="Q23" s="32"/>
    </row>
    <row r="24" spans="1:17" ht="13.8" x14ac:dyDescent="0.25">
      <c r="A24" s="32"/>
      <c r="B24" s="32"/>
      <c r="C24" s="32"/>
      <c r="D24" s="32"/>
      <c r="E24" s="32"/>
      <c r="F24" s="32"/>
      <c r="G24" s="32"/>
      <c r="H24" s="32"/>
      <c r="I24" s="32"/>
      <c r="J24" s="32"/>
      <c r="K24" s="32"/>
      <c r="L24" s="32"/>
      <c r="M24" s="32"/>
      <c r="N24" s="32"/>
      <c r="O24" s="32"/>
      <c r="P24" s="32"/>
      <c r="Q24" s="32"/>
    </row>
    <row r="25" spans="1:17" ht="13.8" x14ac:dyDescent="0.25">
      <c r="A25" s="32"/>
      <c r="B25" s="32"/>
      <c r="C25" s="32"/>
      <c r="D25" s="32"/>
      <c r="E25" s="32"/>
      <c r="F25" s="32"/>
      <c r="G25" s="32"/>
      <c r="H25" s="32"/>
      <c r="I25" s="32"/>
      <c r="J25" s="32"/>
      <c r="K25" s="32"/>
      <c r="L25" s="32"/>
      <c r="M25" s="32"/>
      <c r="N25" s="32"/>
      <c r="O25" s="32"/>
      <c r="P25" s="32"/>
      <c r="Q25" s="32"/>
    </row>
    <row r="26" spans="1:17" ht="13.8" x14ac:dyDescent="0.25">
      <c r="A26" s="32"/>
      <c r="B26" s="32"/>
      <c r="C26" s="32"/>
      <c r="D26" s="32"/>
      <c r="E26" s="32"/>
      <c r="F26" s="32"/>
      <c r="G26" s="32"/>
      <c r="H26" s="32"/>
      <c r="I26" s="32"/>
      <c r="J26" s="32"/>
      <c r="K26" s="32"/>
      <c r="L26" s="32"/>
      <c r="M26" s="32"/>
      <c r="N26" s="32"/>
      <c r="O26" s="32"/>
      <c r="P26" s="32"/>
      <c r="Q26" s="32"/>
    </row>
    <row r="27" spans="1:17" ht="14.4" thickBot="1" x14ac:dyDescent="0.3">
      <c r="A27" s="32"/>
      <c r="B27" s="32"/>
      <c r="C27" s="32"/>
      <c r="D27" s="32"/>
      <c r="E27" s="32"/>
      <c r="F27" s="32"/>
      <c r="G27" s="32"/>
      <c r="H27" s="32"/>
      <c r="I27" s="32"/>
      <c r="J27" s="32"/>
      <c r="K27" s="32"/>
      <c r="L27" s="32"/>
      <c r="M27" s="32"/>
      <c r="N27" s="32"/>
      <c r="O27" s="32"/>
      <c r="P27" s="32"/>
      <c r="Q27" s="32"/>
    </row>
    <row r="28" spans="1:17" ht="46.05" customHeight="1" thickBot="1" x14ac:dyDescent="0.45">
      <c r="A28" s="32"/>
      <c r="B28" s="1343" t="s">
        <v>231</v>
      </c>
      <c r="C28" s="1344"/>
      <c r="D28" s="1344"/>
      <c r="E28" s="1345"/>
      <c r="F28" s="603"/>
      <c r="G28" s="1352" t="s">
        <v>232</v>
      </c>
      <c r="H28" s="1353"/>
      <c r="K28" s="32"/>
      <c r="L28" s="32"/>
      <c r="M28" s="32"/>
      <c r="N28" s="32"/>
      <c r="O28" s="32"/>
    </row>
    <row r="29" spans="1:17" ht="62.4" x14ac:dyDescent="0.25">
      <c r="A29" s="32"/>
      <c r="B29" s="70" t="s">
        <v>114</v>
      </c>
      <c r="C29" s="71" t="s">
        <v>120</v>
      </c>
      <c r="D29" s="71" t="s">
        <v>147</v>
      </c>
      <c r="E29" s="72" t="s">
        <v>233</v>
      </c>
      <c r="F29" s="35"/>
      <c r="G29" s="73" t="s">
        <v>248</v>
      </c>
      <c r="H29" s="352">
        <f>SUMIF(E30:E31, "&gt;0")</f>
        <v>0</v>
      </c>
      <c r="K29" s="32"/>
      <c r="L29" s="32"/>
    </row>
    <row r="30" spans="1:17" ht="27.6" x14ac:dyDescent="0.25">
      <c r="A30" s="32"/>
      <c r="B30" s="271" t="str">
        <f>'G-2 Habitat groups'!A174</f>
        <v>Ditches</v>
      </c>
      <c r="C30" s="346">
        <f>'G-2 Habitat groups'!R174</f>
        <v>0</v>
      </c>
      <c r="D30" s="346">
        <f>'G-2 Habitat groups'!AD174</f>
        <v>0</v>
      </c>
      <c r="E30" s="347">
        <f>'G-2 Habitat groups'!AF174</f>
        <v>0</v>
      </c>
      <c r="F30" s="35"/>
      <c r="G30" s="99" t="s">
        <v>229</v>
      </c>
      <c r="H30" s="353">
        <f>SUMIF(E30:E31, "&lt;0", E30:E31)</f>
        <v>0</v>
      </c>
      <c r="K30" s="32"/>
      <c r="L30" s="32"/>
    </row>
    <row r="31" spans="1:17" ht="14.4" thickBot="1" x14ac:dyDescent="0.3">
      <c r="A31" s="32"/>
      <c r="B31" s="273" t="str">
        <f>'G-2 Habitat groups'!A175</f>
        <v>Canals</v>
      </c>
      <c r="C31" s="355">
        <f>'G-2 Habitat groups'!R175</f>
        <v>0</v>
      </c>
      <c r="D31" s="355">
        <f>'G-2 Habitat groups'!AD175</f>
        <v>0</v>
      </c>
      <c r="E31" s="599">
        <f>'G-2 Habitat groups'!AF175</f>
        <v>0</v>
      </c>
      <c r="F31" s="35"/>
      <c r="H31" s="32"/>
    </row>
    <row r="32" spans="1:17" ht="14.4" thickBot="1" x14ac:dyDescent="0.3">
      <c r="A32" s="32"/>
      <c r="B32" s="36"/>
      <c r="C32" s="410">
        <f>SUM(C30:C31)</f>
        <v>0</v>
      </c>
      <c r="D32" s="612">
        <f>SUM(D30:D31)</f>
        <v>0</v>
      </c>
      <c r="E32" s="377">
        <f>SUM(E30:E31)</f>
        <v>0</v>
      </c>
      <c r="F32" s="35"/>
      <c r="H32" s="32"/>
      <c r="K32" s="32"/>
      <c r="L32" s="32"/>
    </row>
    <row r="33" spans="1:17" ht="14.55" customHeight="1" x14ac:dyDescent="0.25">
      <c r="A33" s="32"/>
      <c r="B33" s="32"/>
      <c r="C33" s="32"/>
      <c r="H33" s="32"/>
      <c r="I33" s="32"/>
      <c r="J33" s="32"/>
      <c r="K33" s="32"/>
      <c r="L33" s="32"/>
      <c r="M33" s="32"/>
      <c r="N33" s="32"/>
      <c r="O33" s="32"/>
    </row>
    <row r="34" spans="1:17" ht="13.8" x14ac:dyDescent="0.25">
      <c r="A34" s="32"/>
      <c r="B34" s="32"/>
      <c r="C34" s="32"/>
      <c r="D34" s="32"/>
      <c r="E34" s="32"/>
      <c r="F34" s="32"/>
      <c r="G34" s="32"/>
      <c r="H34" s="32"/>
      <c r="I34" s="32"/>
      <c r="J34" s="32"/>
      <c r="K34" s="32"/>
      <c r="L34" s="32"/>
      <c r="M34" s="32"/>
      <c r="N34" s="32"/>
      <c r="O34" s="32"/>
      <c r="P34" s="32"/>
      <c r="Q34" s="32"/>
    </row>
    <row r="35" spans="1:17" ht="13.8" x14ac:dyDescent="0.25">
      <c r="A35" s="32"/>
      <c r="B35" s="32"/>
      <c r="C35" s="32"/>
      <c r="D35" s="32"/>
      <c r="E35" s="32"/>
      <c r="F35" s="32"/>
      <c r="G35" s="32"/>
      <c r="H35" s="32"/>
      <c r="I35" s="32"/>
      <c r="J35" s="32"/>
      <c r="K35" s="32"/>
      <c r="L35" s="32"/>
      <c r="M35" s="32"/>
      <c r="N35" s="32"/>
      <c r="O35" s="32"/>
      <c r="P35" s="32"/>
      <c r="Q35" s="32"/>
    </row>
    <row r="36" spans="1:17" ht="13.8" x14ac:dyDescent="0.25">
      <c r="A36" s="32"/>
      <c r="B36" s="32"/>
      <c r="C36" s="32"/>
      <c r="D36" s="32"/>
      <c r="E36" s="32"/>
      <c r="F36" s="32"/>
      <c r="G36" s="32"/>
      <c r="H36" s="32"/>
      <c r="I36" s="32"/>
      <c r="J36" s="32"/>
      <c r="K36" s="32"/>
      <c r="L36" s="32"/>
      <c r="M36" s="32"/>
      <c r="N36" s="32"/>
      <c r="O36" s="32"/>
      <c r="P36" s="32"/>
      <c r="Q36" s="32"/>
    </row>
    <row r="37" spans="1:17" ht="13.8" x14ac:dyDescent="0.25">
      <c r="A37" s="32"/>
      <c r="B37" s="32"/>
      <c r="C37" s="32"/>
      <c r="D37" s="32"/>
      <c r="E37" s="32"/>
      <c r="F37" s="32"/>
      <c r="G37" s="32"/>
      <c r="H37" s="32"/>
      <c r="I37" s="32"/>
      <c r="J37" s="32"/>
      <c r="K37" s="32"/>
      <c r="L37" s="32"/>
      <c r="M37" s="32"/>
      <c r="N37" s="32"/>
      <c r="O37" s="32"/>
      <c r="P37" s="32"/>
      <c r="Q37" s="32"/>
    </row>
    <row r="38" spans="1:17" ht="13.8" x14ac:dyDescent="0.25">
      <c r="A38" s="32"/>
      <c r="B38" s="32"/>
      <c r="C38" s="32"/>
      <c r="D38" s="32"/>
      <c r="E38" s="32"/>
      <c r="F38" s="32"/>
      <c r="G38" s="32"/>
      <c r="H38" s="32"/>
      <c r="I38" s="32"/>
      <c r="J38" s="32"/>
      <c r="K38" s="32"/>
      <c r="L38" s="32"/>
      <c r="M38" s="32"/>
      <c r="N38" s="32"/>
      <c r="O38" s="32"/>
      <c r="P38" s="32"/>
      <c r="Q38" s="32"/>
    </row>
    <row r="39" spans="1:17" ht="14.4" thickBot="1" x14ac:dyDescent="0.3">
      <c r="A39" s="32"/>
      <c r="B39" s="32"/>
      <c r="C39" s="32"/>
      <c r="D39" s="32"/>
      <c r="E39" s="32"/>
      <c r="F39" s="38"/>
      <c r="G39" s="32"/>
      <c r="H39" s="32"/>
      <c r="I39" s="32"/>
      <c r="J39" s="32"/>
      <c r="K39" s="32"/>
      <c r="L39" s="32"/>
      <c r="M39" s="32"/>
      <c r="N39" s="32"/>
      <c r="O39" s="32"/>
      <c r="P39" s="32"/>
      <c r="Q39" s="32"/>
    </row>
    <row r="40" spans="1:17" ht="45.6" customHeight="1" thickBot="1" x14ac:dyDescent="0.45">
      <c r="A40" s="32"/>
      <c r="B40" s="1325" t="s">
        <v>237</v>
      </c>
      <c r="C40" s="1326"/>
      <c r="D40" s="1326"/>
      <c r="E40" s="1327"/>
      <c r="F40" s="606"/>
      <c r="G40" s="1352" t="s">
        <v>238</v>
      </c>
      <c r="H40" s="1353"/>
      <c r="I40" s="32"/>
      <c r="J40" s="32"/>
      <c r="K40" s="32"/>
      <c r="L40" s="32"/>
      <c r="M40" s="32"/>
      <c r="N40" s="32"/>
      <c r="O40" s="32"/>
    </row>
    <row r="41" spans="1:17" ht="62.4" x14ac:dyDescent="0.25">
      <c r="A41" s="32"/>
      <c r="B41" s="70" t="s">
        <v>114</v>
      </c>
      <c r="C41" s="71" t="s">
        <v>221</v>
      </c>
      <c r="D41" s="71" t="s">
        <v>147</v>
      </c>
      <c r="E41" s="72" t="s">
        <v>233</v>
      </c>
      <c r="G41" s="73" t="s">
        <v>239</v>
      </c>
      <c r="H41" s="352">
        <f>E43</f>
        <v>0</v>
      </c>
      <c r="K41" s="32"/>
      <c r="L41" s="32"/>
      <c r="M41" s="32"/>
      <c r="N41" s="32"/>
    </row>
    <row r="42" spans="1:17" ht="14.4" thickBot="1" x14ac:dyDescent="0.3">
      <c r="A42" s="32"/>
      <c r="B42" s="211" t="str">
        <f>'G-2 Habitat groups'!A176</f>
        <v>Culvert</v>
      </c>
      <c r="C42" s="355">
        <f>'G-2 Habitat groups'!R176</f>
        <v>0</v>
      </c>
      <c r="D42" s="355">
        <f>'G-2 Habitat groups'!AD176</f>
        <v>0</v>
      </c>
      <c r="E42" s="599">
        <f>'G-2 Habitat groups'!AF176</f>
        <v>0</v>
      </c>
      <c r="G42" s="74" t="s">
        <v>1674</v>
      </c>
      <c r="H42" s="351">
        <f>H41+(H29+H21+H12)</f>
        <v>0</v>
      </c>
      <c r="K42" s="32"/>
      <c r="L42" s="32"/>
      <c r="M42" s="32"/>
      <c r="N42" s="32"/>
    </row>
    <row r="43" spans="1:17" ht="14.4" thickBot="1" x14ac:dyDescent="0.3">
      <c r="A43" s="32"/>
      <c r="B43" s="36"/>
      <c r="C43" s="414">
        <f>SUM(C42:C42)</f>
        <v>0</v>
      </c>
      <c r="D43" s="414">
        <f>D42</f>
        <v>0</v>
      </c>
      <c r="E43" s="414">
        <f>SUM(E42:E42)</f>
        <v>0</v>
      </c>
      <c r="G43" s="32"/>
      <c r="H43" s="32"/>
      <c r="K43" s="32"/>
      <c r="L43" s="32"/>
      <c r="M43" s="32"/>
      <c r="N43" s="32"/>
    </row>
    <row r="44" spans="1:17" ht="13.8" x14ac:dyDescent="0.25">
      <c r="A44" s="32"/>
      <c r="B44" s="32"/>
      <c r="C44" s="32"/>
      <c r="G44" s="32"/>
      <c r="H44" s="32"/>
      <c r="I44" s="32"/>
      <c r="J44" s="32"/>
      <c r="K44" s="32"/>
      <c r="L44" s="32"/>
      <c r="M44" s="32"/>
      <c r="N44" s="32"/>
      <c r="O44" s="32"/>
      <c r="P44" s="32"/>
      <c r="Q44" s="32"/>
    </row>
    <row r="45" spans="1:17" ht="13.8" x14ac:dyDescent="0.25">
      <c r="A45" s="32"/>
      <c r="G45" s="32"/>
      <c r="H45" s="32"/>
      <c r="I45" s="32"/>
      <c r="J45" s="32"/>
      <c r="K45" s="32"/>
      <c r="L45" s="32"/>
      <c r="M45" s="32"/>
      <c r="N45" s="32"/>
      <c r="O45" s="32"/>
      <c r="P45" s="32"/>
      <c r="Q45" s="32"/>
    </row>
    <row r="46" spans="1:17" ht="13.8" hidden="1" x14ac:dyDescent="0.25">
      <c r="A46" s="32"/>
      <c r="B46" s="32"/>
      <c r="C46" s="32"/>
      <c r="D46" s="32"/>
      <c r="E46" s="32"/>
      <c r="F46" s="32"/>
      <c r="G46" s="32"/>
      <c r="H46" s="32"/>
      <c r="I46" s="32"/>
      <c r="J46" s="32"/>
      <c r="K46" s="32"/>
      <c r="L46" s="32"/>
      <c r="M46" s="32"/>
      <c r="N46" s="32"/>
      <c r="O46" s="32"/>
      <c r="P46" s="32"/>
      <c r="Q46" s="32"/>
    </row>
    <row r="47" spans="1:17" ht="13.8" hidden="1" x14ac:dyDescent="0.25">
      <c r="A47" s="32"/>
      <c r="B47" s="32"/>
      <c r="C47" s="32"/>
      <c r="D47" s="32"/>
      <c r="E47" s="32"/>
      <c r="F47" s="32"/>
      <c r="G47" s="32"/>
      <c r="H47" s="32"/>
      <c r="I47" s="32"/>
      <c r="J47" s="32"/>
      <c r="K47" s="32"/>
      <c r="L47" s="32"/>
      <c r="M47" s="32"/>
      <c r="N47" s="32"/>
      <c r="O47" s="32"/>
      <c r="P47" s="32"/>
      <c r="Q47" s="32"/>
    </row>
    <row r="48" spans="1:17" ht="13.8" hidden="1" x14ac:dyDescent="0.25">
      <c r="A48" s="32"/>
      <c r="B48" s="32"/>
      <c r="C48" s="32"/>
      <c r="D48" s="32"/>
      <c r="E48" s="32"/>
      <c r="F48" s="32"/>
      <c r="G48" s="32"/>
      <c r="H48" s="32"/>
      <c r="I48" s="32"/>
      <c r="J48" s="32"/>
      <c r="K48" s="32"/>
      <c r="L48" s="32"/>
      <c r="M48" s="32"/>
      <c r="N48" s="32"/>
      <c r="O48" s="32"/>
      <c r="P48" s="32"/>
      <c r="Q48" s="32"/>
    </row>
    <row r="49" spans="1:17" ht="13.8" hidden="1" x14ac:dyDescent="0.25">
      <c r="A49" s="32"/>
      <c r="B49" s="32"/>
      <c r="C49" s="32"/>
      <c r="D49" s="32"/>
      <c r="E49" s="32"/>
      <c r="F49" s="32"/>
      <c r="G49" s="32"/>
      <c r="H49" s="32"/>
      <c r="I49" s="32"/>
      <c r="J49" s="32"/>
      <c r="K49" s="32"/>
      <c r="L49" s="32"/>
      <c r="M49" s="32"/>
      <c r="N49" s="32"/>
      <c r="O49" s="32"/>
      <c r="P49" s="32"/>
      <c r="Q49" s="32"/>
    </row>
    <row r="50" spans="1:17" ht="13.8" hidden="1" x14ac:dyDescent="0.25">
      <c r="A50" s="32"/>
      <c r="B50" s="32"/>
      <c r="C50" s="32"/>
      <c r="D50" s="32"/>
      <c r="E50" s="32"/>
      <c r="F50" s="32"/>
      <c r="G50" s="32"/>
      <c r="H50" s="32"/>
      <c r="I50" s="32"/>
      <c r="J50" s="32"/>
      <c r="K50" s="32"/>
      <c r="L50" s="32"/>
      <c r="M50" s="32"/>
      <c r="N50" s="32"/>
      <c r="O50" s="32"/>
      <c r="P50" s="32"/>
      <c r="Q50" s="32"/>
    </row>
    <row r="51" spans="1:17" ht="13.8" hidden="1" x14ac:dyDescent="0.25">
      <c r="A51" s="32"/>
      <c r="B51" s="32"/>
      <c r="C51" s="32"/>
      <c r="D51" s="32"/>
      <c r="E51" s="32"/>
      <c r="F51" s="32"/>
      <c r="G51" s="32"/>
      <c r="H51" s="32"/>
      <c r="I51" s="32"/>
      <c r="J51" s="32"/>
      <c r="K51" s="32"/>
      <c r="L51" s="32"/>
      <c r="M51" s="32"/>
      <c r="N51" s="32"/>
      <c r="O51" s="32"/>
      <c r="P51" s="32"/>
      <c r="Q51" s="32"/>
    </row>
    <row r="52" spans="1:17" ht="13.8" hidden="1" x14ac:dyDescent="0.25">
      <c r="A52" s="32"/>
      <c r="B52" s="32"/>
      <c r="C52" s="32"/>
      <c r="D52" s="32"/>
      <c r="E52" s="32"/>
      <c r="F52" s="32"/>
      <c r="G52" s="32"/>
      <c r="H52" s="32"/>
      <c r="I52" s="32"/>
      <c r="J52" s="32"/>
      <c r="K52" s="32"/>
      <c r="L52" s="32"/>
      <c r="M52" s="32"/>
      <c r="N52" s="32"/>
      <c r="O52" s="32"/>
      <c r="P52" s="32"/>
      <c r="Q52" s="32"/>
    </row>
    <row r="53" spans="1:17" ht="13.8" hidden="1" x14ac:dyDescent="0.25">
      <c r="A53" s="32"/>
      <c r="B53" s="32"/>
      <c r="C53" s="32"/>
      <c r="D53" s="32"/>
      <c r="E53" s="32"/>
      <c r="F53" s="32"/>
      <c r="G53" s="32"/>
      <c r="H53" s="32"/>
      <c r="I53" s="32"/>
      <c r="J53" s="32"/>
      <c r="K53" s="32"/>
      <c r="L53" s="32"/>
      <c r="M53" s="32"/>
      <c r="N53" s="32"/>
      <c r="O53" s="32"/>
      <c r="P53" s="32"/>
      <c r="Q53" s="32"/>
    </row>
    <row r="54" spans="1:17" ht="13.8" hidden="1" x14ac:dyDescent="0.25">
      <c r="A54" s="32"/>
      <c r="B54" s="32"/>
      <c r="C54" s="32"/>
      <c r="D54" s="32"/>
      <c r="E54" s="32"/>
      <c r="F54" s="32"/>
      <c r="G54" s="32"/>
      <c r="H54" s="32"/>
      <c r="I54" s="32"/>
      <c r="J54" s="32"/>
      <c r="K54" s="32"/>
      <c r="L54" s="32"/>
      <c r="M54" s="32"/>
      <c r="N54" s="32"/>
      <c r="O54" s="32"/>
      <c r="P54" s="32"/>
      <c r="Q54" s="32"/>
    </row>
    <row r="55" spans="1:17" ht="13.8" hidden="1" x14ac:dyDescent="0.25">
      <c r="A55" s="32"/>
      <c r="B55" s="32"/>
      <c r="C55" s="32"/>
      <c r="D55" s="32"/>
      <c r="E55" s="32"/>
      <c r="F55" s="32"/>
      <c r="G55" s="32"/>
      <c r="H55" s="32"/>
      <c r="I55" s="32"/>
      <c r="J55" s="32"/>
      <c r="K55" s="32"/>
      <c r="L55" s="32"/>
      <c r="M55" s="32"/>
      <c r="N55" s="32"/>
      <c r="O55" s="32"/>
      <c r="P55" s="32"/>
      <c r="Q55" s="32"/>
    </row>
    <row r="56" spans="1:17" ht="13.8" hidden="1" x14ac:dyDescent="0.25">
      <c r="A56" s="32"/>
      <c r="B56" s="32"/>
      <c r="C56" s="32"/>
      <c r="D56" s="32"/>
      <c r="E56" s="32"/>
      <c r="F56" s="32"/>
      <c r="G56" s="32"/>
      <c r="H56" s="32"/>
      <c r="I56" s="32"/>
      <c r="J56" s="32"/>
      <c r="K56" s="32"/>
      <c r="L56" s="32"/>
      <c r="M56" s="32"/>
      <c r="N56" s="32"/>
      <c r="O56" s="32"/>
      <c r="P56" s="32"/>
      <c r="Q56" s="32"/>
    </row>
    <row r="57" spans="1:17" ht="13.8" hidden="1" x14ac:dyDescent="0.25">
      <c r="A57" s="32"/>
      <c r="B57" s="32"/>
      <c r="C57" s="32"/>
      <c r="D57" s="32"/>
      <c r="E57" s="32"/>
      <c r="F57" s="32"/>
      <c r="G57" s="32"/>
      <c r="H57" s="32"/>
      <c r="I57" s="32"/>
      <c r="J57" s="32"/>
      <c r="K57" s="32"/>
      <c r="L57" s="32"/>
      <c r="M57" s="32"/>
      <c r="N57" s="32"/>
      <c r="O57" s="32"/>
      <c r="P57" s="32"/>
      <c r="Q57" s="32"/>
    </row>
    <row r="58" spans="1:17" ht="13.8" hidden="1" x14ac:dyDescent="0.25">
      <c r="A58" s="32"/>
      <c r="B58" s="32"/>
      <c r="C58" s="32"/>
      <c r="D58" s="32"/>
      <c r="E58" s="32"/>
      <c r="F58" s="32"/>
      <c r="G58" s="32"/>
      <c r="H58" s="32"/>
      <c r="I58" s="32"/>
      <c r="J58" s="32"/>
      <c r="K58" s="32"/>
      <c r="L58" s="32"/>
      <c r="M58" s="32"/>
      <c r="N58" s="32"/>
      <c r="O58" s="32"/>
      <c r="P58" s="32"/>
      <c r="Q58" s="32"/>
    </row>
    <row r="59" spans="1:17" ht="13.8" hidden="1" x14ac:dyDescent="0.25">
      <c r="A59" s="32"/>
      <c r="B59" s="32"/>
      <c r="C59" s="32"/>
      <c r="D59" s="32"/>
      <c r="E59" s="32"/>
      <c r="F59" s="32"/>
      <c r="G59" s="32"/>
      <c r="H59" s="32"/>
      <c r="I59" s="32"/>
      <c r="J59" s="32"/>
      <c r="K59" s="32"/>
      <c r="L59" s="32"/>
      <c r="M59" s="32"/>
      <c r="N59" s="32"/>
      <c r="O59" s="32"/>
      <c r="P59" s="32"/>
      <c r="Q59" s="32"/>
    </row>
    <row r="60" spans="1:17" ht="13.8" hidden="1" x14ac:dyDescent="0.25">
      <c r="A60" s="32"/>
      <c r="B60" s="32"/>
      <c r="C60" s="32"/>
      <c r="D60" s="32"/>
      <c r="E60" s="32"/>
      <c r="F60" s="32"/>
      <c r="G60" s="32"/>
      <c r="H60" s="32"/>
      <c r="I60" s="32"/>
      <c r="J60" s="32"/>
      <c r="K60" s="32"/>
      <c r="L60" s="32"/>
      <c r="M60" s="32"/>
      <c r="N60" s="32"/>
      <c r="O60" s="32"/>
      <c r="P60" s="32"/>
      <c r="Q60" s="32"/>
    </row>
    <row r="61" spans="1:17" ht="13.8" hidden="1" x14ac:dyDescent="0.25">
      <c r="A61" s="32"/>
      <c r="B61" s="32"/>
      <c r="C61" s="32"/>
      <c r="D61" s="32"/>
      <c r="E61" s="32"/>
      <c r="F61" s="32"/>
      <c r="G61" s="32"/>
      <c r="H61" s="32"/>
      <c r="I61" s="32"/>
      <c r="J61" s="32"/>
      <c r="K61" s="32"/>
      <c r="L61" s="32"/>
      <c r="M61" s="32"/>
      <c r="N61" s="32"/>
      <c r="O61" s="32"/>
      <c r="P61" s="32"/>
      <c r="Q61" s="32"/>
    </row>
    <row r="62" spans="1:17" ht="13.8" hidden="1" x14ac:dyDescent="0.25">
      <c r="A62" s="32"/>
      <c r="B62" s="32"/>
      <c r="C62" s="32"/>
      <c r="D62" s="32"/>
      <c r="E62" s="32"/>
      <c r="F62" s="32"/>
      <c r="G62" s="32"/>
      <c r="H62" s="32"/>
      <c r="I62" s="32"/>
      <c r="J62" s="32"/>
      <c r="K62" s="32"/>
      <c r="L62" s="32"/>
      <c r="M62" s="32"/>
      <c r="N62" s="32"/>
      <c r="O62" s="32"/>
      <c r="P62" s="32"/>
      <c r="Q62" s="32"/>
    </row>
    <row r="63" spans="1:17" ht="13.8" hidden="1" x14ac:dyDescent="0.25">
      <c r="A63" s="32"/>
      <c r="B63" s="32"/>
      <c r="C63" s="32"/>
      <c r="D63" s="32"/>
      <c r="E63" s="32"/>
      <c r="F63" s="32"/>
      <c r="G63" s="32"/>
      <c r="H63" s="32"/>
      <c r="I63" s="32"/>
      <c r="J63" s="32"/>
      <c r="K63" s="32"/>
      <c r="L63" s="32"/>
      <c r="M63" s="32"/>
      <c r="N63" s="32"/>
      <c r="O63" s="32"/>
      <c r="P63" s="32"/>
      <c r="Q63" s="32"/>
    </row>
    <row r="64" spans="1:17" ht="13.8" hidden="1" x14ac:dyDescent="0.25">
      <c r="A64" s="32"/>
      <c r="B64" s="32"/>
      <c r="C64" s="32"/>
      <c r="D64" s="32"/>
      <c r="E64" s="32"/>
      <c r="F64" s="32"/>
      <c r="G64" s="32"/>
      <c r="H64" s="32"/>
      <c r="I64" s="32"/>
      <c r="J64" s="32"/>
      <c r="K64" s="32"/>
      <c r="L64" s="32"/>
      <c r="M64" s="32"/>
      <c r="N64" s="32"/>
      <c r="O64" s="32"/>
      <c r="P64" s="32"/>
      <c r="Q64" s="32"/>
    </row>
    <row r="65" spans="1:17" ht="13.8" hidden="1" x14ac:dyDescent="0.25">
      <c r="A65" s="32"/>
      <c r="B65" s="32"/>
      <c r="C65" s="32"/>
      <c r="D65" s="32"/>
      <c r="E65" s="32"/>
      <c r="F65" s="32"/>
      <c r="G65" s="32"/>
      <c r="H65" s="32"/>
      <c r="I65" s="32"/>
      <c r="J65" s="32"/>
      <c r="K65" s="32"/>
      <c r="L65" s="32"/>
      <c r="M65" s="32"/>
      <c r="N65" s="32"/>
      <c r="O65" s="32"/>
      <c r="P65" s="32"/>
      <c r="Q65" s="32"/>
    </row>
    <row r="66" spans="1:17" ht="13.8" hidden="1" x14ac:dyDescent="0.25">
      <c r="A66" s="32"/>
      <c r="B66" s="32"/>
      <c r="C66" s="32"/>
      <c r="D66" s="32"/>
      <c r="E66" s="32"/>
      <c r="F66" s="32"/>
      <c r="G66" s="32"/>
      <c r="H66" s="32"/>
      <c r="I66" s="32"/>
      <c r="J66" s="32"/>
      <c r="K66" s="32"/>
      <c r="L66" s="32"/>
      <c r="M66" s="32"/>
      <c r="N66" s="32"/>
      <c r="O66" s="32"/>
      <c r="P66" s="32"/>
      <c r="Q66" s="32"/>
    </row>
    <row r="67" spans="1:17" ht="13.8" hidden="1" x14ac:dyDescent="0.25">
      <c r="A67" s="32"/>
      <c r="B67" s="32"/>
      <c r="C67" s="32"/>
      <c r="D67" s="32"/>
      <c r="E67" s="32"/>
      <c r="F67" s="32"/>
      <c r="G67" s="32"/>
      <c r="H67" s="32"/>
      <c r="I67" s="32"/>
      <c r="J67" s="32"/>
      <c r="K67" s="32"/>
      <c r="L67" s="32"/>
      <c r="M67" s="32"/>
      <c r="N67" s="32"/>
      <c r="O67" s="32"/>
      <c r="P67" s="32"/>
      <c r="Q67" s="32"/>
    </row>
    <row r="68" spans="1:17" ht="13.8" hidden="1" x14ac:dyDescent="0.25">
      <c r="A68" s="32"/>
      <c r="B68" s="32"/>
      <c r="C68" s="32"/>
      <c r="D68" s="32"/>
      <c r="E68" s="32"/>
      <c r="F68" s="32"/>
      <c r="G68" s="32"/>
      <c r="H68" s="32"/>
      <c r="I68" s="32"/>
      <c r="J68" s="32"/>
      <c r="K68" s="32"/>
      <c r="L68" s="32"/>
      <c r="M68" s="32"/>
      <c r="N68" s="32"/>
      <c r="O68" s="32"/>
      <c r="P68" s="32"/>
      <c r="Q68" s="32"/>
    </row>
    <row r="69" spans="1:17" ht="13.8" hidden="1" x14ac:dyDescent="0.25">
      <c r="A69" s="32"/>
      <c r="B69" s="32"/>
      <c r="C69" s="32"/>
      <c r="D69" s="32"/>
      <c r="E69" s="32"/>
      <c r="F69" s="32"/>
      <c r="G69" s="32"/>
      <c r="H69" s="32"/>
      <c r="I69" s="32"/>
      <c r="J69" s="32"/>
      <c r="K69" s="32"/>
      <c r="L69" s="32"/>
      <c r="M69" s="32"/>
      <c r="N69" s="32"/>
      <c r="O69" s="32"/>
      <c r="P69" s="32"/>
      <c r="Q69" s="32"/>
    </row>
    <row r="70" spans="1:17" ht="13.8" hidden="1" x14ac:dyDescent="0.25">
      <c r="A70" s="32"/>
      <c r="B70" s="32"/>
      <c r="C70" s="32"/>
      <c r="D70" s="32"/>
      <c r="E70" s="32"/>
      <c r="F70" s="32"/>
      <c r="G70" s="32"/>
      <c r="H70" s="32"/>
      <c r="I70" s="32"/>
      <c r="J70" s="32"/>
      <c r="K70" s="32"/>
      <c r="L70" s="32"/>
      <c r="M70" s="32"/>
      <c r="N70" s="32"/>
      <c r="O70" s="32"/>
      <c r="P70" s="32"/>
      <c r="Q70" s="32"/>
    </row>
    <row r="71" spans="1:17" ht="13.8" hidden="1" x14ac:dyDescent="0.25">
      <c r="A71" s="32"/>
      <c r="B71" s="32"/>
      <c r="C71" s="32"/>
      <c r="D71" s="32"/>
      <c r="E71" s="32"/>
      <c r="F71" s="32"/>
      <c r="G71" s="32"/>
      <c r="H71" s="32"/>
      <c r="I71" s="32"/>
      <c r="J71" s="32"/>
      <c r="K71" s="32"/>
      <c r="L71" s="32"/>
      <c r="M71" s="32"/>
      <c r="N71" s="32"/>
      <c r="O71" s="32"/>
      <c r="P71" s="32"/>
      <c r="Q71" s="32"/>
    </row>
    <row r="72" spans="1:17" ht="13.8" hidden="1" x14ac:dyDescent="0.25">
      <c r="A72" s="32"/>
      <c r="B72" s="32"/>
      <c r="C72" s="32"/>
      <c r="D72" s="32"/>
      <c r="E72" s="32"/>
      <c r="F72" s="32"/>
      <c r="G72" s="32"/>
      <c r="H72" s="32"/>
      <c r="I72" s="32"/>
      <c r="J72" s="32"/>
      <c r="K72" s="32"/>
      <c r="L72" s="32"/>
      <c r="M72" s="32"/>
      <c r="N72" s="32"/>
      <c r="O72" s="32"/>
      <c r="P72" s="32"/>
      <c r="Q72" s="32"/>
    </row>
    <row r="73" spans="1:17" ht="13.8" hidden="1" x14ac:dyDescent="0.25">
      <c r="A73" s="32"/>
      <c r="B73" s="32"/>
      <c r="C73" s="32"/>
      <c r="D73" s="32"/>
      <c r="E73" s="32"/>
      <c r="F73" s="32"/>
      <c r="G73" s="32"/>
      <c r="H73" s="32"/>
      <c r="I73" s="32"/>
      <c r="J73" s="32"/>
      <c r="K73" s="32"/>
      <c r="L73" s="32"/>
      <c r="M73" s="32"/>
      <c r="N73" s="32"/>
      <c r="O73" s="32"/>
      <c r="P73" s="32"/>
      <c r="Q73" s="32"/>
    </row>
    <row r="74" spans="1:17" ht="13.8" hidden="1" x14ac:dyDescent="0.25">
      <c r="A74" s="32"/>
      <c r="B74" s="32"/>
      <c r="C74" s="32"/>
      <c r="D74" s="32"/>
      <c r="E74" s="32"/>
      <c r="F74" s="32"/>
      <c r="G74" s="32"/>
      <c r="H74" s="32"/>
      <c r="I74" s="32"/>
      <c r="J74" s="32"/>
      <c r="K74" s="32"/>
      <c r="L74" s="32"/>
      <c r="M74" s="32"/>
      <c r="N74" s="32"/>
      <c r="O74" s="32"/>
      <c r="P74" s="32"/>
      <c r="Q74" s="32"/>
    </row>
    <row r="75" spans="1:17" ht="13.8" hidden="1" x14ac:dyDescent="0.25">
      <c r="A75" s="32"/>
      <c r="B75" s="32"/>
      <c r="C75" s="32"/>
      <c r="D75" s="32"/>
      <c r="E75" s="32"/>
      <c r="F75" s="32"/>
      <c r="G75" s="32"/>
      <c r="H75" s="32"/>
      <c r="I75" s="32"/>
      <c r="J75" s="32"/>
      <c r="K75" s="32"/>
      <c r="L75" s="32"/>
      <c r="M75" s="32"/>
      <c r="N75" s="32"/>
      <c r="O75" s="32"/>
      <c r="P75" s="32"/>
      <c r="Q75" s="32"/>
    </row>
    <row r="76" spans="1:17" ht="13.8" hidden="1" x14ac:dyDescent="0.25">
      <c r="A76" s="32"/>
      <c r="B76" s="32"/>
      <c r="C76" s="32"/>
      <c r="D76" s="32"/>
      <c r="E76" s="32"/>
      <c r="F76" s="32"/>
      <c r="G76" s="32"/>
      <c r="H76" s="32"/>
      <c r="I76" s="32"/>
      <c r="J76" s="32"/>
      <c r="K76" s="32"/>
      <c r="L76" s="32"/>
      <c r="M76" s="32"/>
      <c r="N76" s="32"/>
      <c r="O76" s="32"/>
      <c r="P76" s="32"/>
      <c r="Q76" s="32"/>
    </row>
    <row r="77" spans="1:17" ht="13.8" hidden="1" x14ac:dyDescent="0.25">
      <c r="A77" s="32"/>
      <c r="B77" s="32"/>
      <c r="C77" s="32"/>
      <c r="D77" s="32"/>
      <c r="E77" s="32"/>
      <c r="F77" s="32"/>
      <c r="G77" s="32"/>
      <c r="H77" s="32"/>
      <c r="I77" s="32"/>
      <c r="J77" s="32"/>
      <c r="K77" s="32"/>
      <c r="L77" s="32"/>
      <c r="M77" s="32"/>
      <c r="N77" s="32"/>
      <c r="O77" s="32"/>
      <c r="P77" s="32"/>
      <c r="Q77" s="32"/>
    </row>
    <row r="78" spans="1:17" ht="13.8" hidden="1" x14ac:dyDescent="0.25">
      <c r="A78" s="32"/>
      <c r="B78" s="32"/>
      <c r="C78" s="32"/>
      <c r="D78" s="32"/>
      <c r="E78" s="32"/>
      <c r="F78" s="32"/>
      <c r="G78" s="32"/>
      <c r="H78" s="32"/>
      <c r="I78" s="32"/>
      <c r="J78" s="32"/>
      <c r="K78" s="32"/>
      <c r="L78" s="32"/>
      <c r="M78" s="32"/>
      <c r="N78" s="32"/>
      <c r="O78" s="32"/>
      <c r="P78" s="32"/>
      <c r="Q78" s="32"/>
    </row>
    <row r="79" spans="1:17" ht="13.8" hidden="1" x14ac:dyDescent="0.25">
      <c r="A79" s="32"/>
      <c r="B79" s="32"/>
      <c r="C79" s="32"/>
      <c r="D79" s="32"/>
      <c r="E79" s="32"/>
      <c r="F79" s="32"/>
      <c r="G79" s="32"/>
      <c r="H79" s="32"/>
      <c r="I79" s="32"/>
      <c r="J79" s="32"/>
      <c r="K79" s="32"/>
      <c r="L79" s="32"/>
      <c r="M79" s="32"/>
      <c r="N79" s="32"/>
      <c r="O79" s="32"/>
      <c r="P79" s="32"/>
      <c r="Q79" s="32"/>
    </row>
    <row r="80" spans="1:17" ht="13.8" hidden="1" x14ac:dyDescent="0.25">
      <c r="A80" s="32"/>
      <c r="B80" s="32"/>
      <c r="C80" s="32"/>
      <c r="D80" s="32"/>
      <c r="E80" s="32"/>
      <c r="F80" s="32"/>
      <c r="G80" s="32"/>
      <c r="H80" s="32"/>
      <c r="I80" s="32"/>
      <c r="J80" s="32"/>
      <c r="K80" s="32"/>
      <c r="L80" s="32"/>
      <c r="M80" s="32"/>
      <c r="N80" s="32"/>
      <c r="O80" s="32"/>
      <c r="P80" s="32"/>
      <c r="Q80" s="32"/>
    </row>
    <row r="81" spans="1:17" ht="13.8" hidden="1" x14ac:dyDescent="0.25">
      <c r="A81" s="32"/>
      <c r="B81" s="32"/>
      <c r="C81" s="32"/>
      <c r="D81" s="32"/>
      <c r="E81" s="32"/>
      <c r="F81" s="32"/>
      <c r="G81" s="32"/>
      <c r="H81" s="32"/>
      <c r="I81" s="32"/>
      <c r="J81" s="32"/>
      <c r="K81" s="32"/>
      <c r="L81" s="32"/>
      <c r="M81" s="32"/>
      <c r="N81" s="32"/>
      <c r="O81" s="32"/>
      <c r="P81" s="32"/>
      <c r="Q81" s="32"/>
    </row>
    <row r="82" spans="1:17" ht="13.8" hidden="1" x14ac:dyDescent="0.25">
      <c r="A82" s="32"/>
      <c r="B82" s="32"/>
      <c r="C82" s="32"/>
      <c r="D82" s="32"/>
      <c r="E82" s="32"/>
      <c r="F82" s="32"/>
      <c r="G82" s="32"/>
      <c r="H82" s="32"/>
      <c r="I82" s="32"/>
      <c r="J82" s="32"/>
      <c r="K82" s="32"/>
      <c r="L82" s="32"/>
      <c r="M82" s="32"/>
      <c r="N82" s="32"/>
      <c r="O82" s="32"/>
      <c r="P82" s="32"/>
      <c r="Q82" s="32"/>
    </row>
    <row r="83" spans="1:17" ht="13.8" hidden="1" x14ac:dyDescent="0.25">
      <c r="A83" s="32"/>
      <c r="B83" s="32"/>
      <c r="C83" s="32"/>
      <c r="D83" s="32"/>
      <c r="E83" s="32"/>
      <c r="F83" s="32"/>
      <c r="G83" s="32"/>
      <c r="H83" s="32"/>
      <c r="I83" s="32"/>
      <c r="J83" s="32"/>
      <c r="K83" s="32"/>
      <c r="L83" s="32"/>
      <c r="M83" s="32"/>
      <c r="N83" s="32"/>
      <c r="O83" s="32"/>
      <c r="P83" s="32"/>
      <c r="Q83" s="32"/>
    </row>
    <row r="84" spans="1:17" ht="13.8" hidden="1" x14ac:dyDescent="0.25">
      <c r="A84" s="32"/>
      <c r="B84" s="32"/>
      <c r="C84" s="32"/>
      <c r="D84" s="32"/>
      <c r="E84" s="32"/>
      <c r="F84" s="32"/>
      <c r="G84" s="32"/>
      <c r="H84" s="32"/>
      <c r="I84" s="32"/>
      <c r="J84" s="32"/>
      <c r="K84" s="32"/>
      <c r="L84" s="32"/>
      <c r="M84" s="32"/>
      <c r="N84" s="32"/>
      <c r="O84" s="32"/>
      <c r="P84" s="32"/>
      <c r="Q84" s="32"/>
    </row>
    <row r="85" spans="1:17" ht="13.8" hidden="1" x14ac:dyDescent="0.25">
      <c r="A85" s="32"/>
      <c r="B85" s="32"/>
      <c r="C85" s="32"/>
      <c r="D85" s="32"/>
      <c r="E85" s="32"/>
      <c r="F85" s="32"/>
      <c r="G85" s="32"/>
      <c r="H85" s="32"/>
      <c r="I85" s="32"/>
      <c r="J85" s="32"/>
      <c r="K85" s="32"/>
      <c r="L85" s="32"/>
      <c r="M85" s="32"/>
      <c r="N85" s="32"/>
      <c r="O85" s="32"/>
      <c r="P85" s="32"/>
      <c r="Q85" s="32"/>
    </row>
    <row r="86" spans="1:17" ht="13.8" hidden="1" x14ac:dyDescent="0.25">
      <c r="A86" s="32"/>
      <c r="B86" s="32"/>
      <c r="C86" s="32"/>
      <c r="D86" s="32"/>
      <c r="E86" s="32"/>
      <c r="F86" s="32"/>
      <c r="G86" s="32"/>
      <c r="H86" s="32"/>
      <c r="I86" s="32"/>
      <c r="J86" s="32"/>
      <c r="K86" s="32"/>
      <c r="L86" s="32"/>
      <c r="M86" s="32"/>
      <c r="N86" s="32"/>
      <c r="O86" s="32"/>
      <c r="P86" s="32"/>
      <c r="Q86" s="32"/>
    </row>
    <row r="87" spans="1:17" ht="13.8" hidden="1" x14ac:dyDescent="0.25">
      <c r="A87" s="32"/>
      <c r="B87" s="32"/>
      <c r="C87" s="32"/>
      <c r="D87" s="32"/>
      <c r="E87" s="32"/>
      <c r="F87" s="32"/>
      <c r="G87" s="32"/>
      <c r="H87" s="32"/>
      <c r="I87" s="32"/>
      <c r="J87" s="32"/>
      <c r="K87" s="32"/>
      <c r="L87" s="32"/>
      <c r="M87" s="32"/>
      <c r="N87" s="32"/>
      <c r="O87" s="32"/>
      <c r="P87" s="32"/>
      <c r="Q87" s="32"/>
    </row>
    <row r="88" spans="1:17" ht="13.8" hidden="1" x14ac:dyDescent="0.25">
      <c r="A88" s="32"/>
      <c r="B88" s="32"/>
      <c r="C88" s="32"/>
      <c r="D88" s="32"/>
      <c r="E88" s="32"/>
      <c r="F88" s="32"/>
      <c r="G88" s="32"/>
      <c r="H88" s="32"/>
      <c r="I88" s="32"/>
      <c r="J88" s="32"/>
      <c r="K88" s="32"/>
      <c r="L88" s="32"/>
      <c r="M88" s="32"/>
      <c r="N88" s="32"/>
      <c r="O88" s="32"/>
      <c r="P88" s="32"/>
      <c r="Q88" s="32"/>
    </row>
    <row r="89" spans="1:17" ht="13.8" hidden="1" x14ac:dyDescent="0.25">
      <c r="A89" s="32"/>
      <c r="B89" s="32"/>
      <c r="C89" s="32"/>
      <c r="D89" s="32"/>
      <c r="E89" s="32"/>
      <c r="F89" s="32"/>
      <c r="G89" s="32"/>
      <c r="H89" s="32"/>
      <c r="I89" s="32"/>
      <c r="J89" s="32"/>
      <c r="K89" s="32"/>
      <c r="L89" s="32"/>
      <c r="M89" s="32"/>
      <c r="N89" s="32"/>
      <c r="O89" s="32"/>
      <c r="P89" s="32"/>
      <c r="Q89" s="32"/>
    </row>
    <row r="90" spans="1:17" ht="13.8" hidden="1" x14ac:dyDescent="0.25">
      <c r="A90" s="32"/>
      <c r="B90" s="32"/>
      <c r="C90" s="32"/>
      <c r="D90" s="32"/>
      <c r="E90" s="32"/>
      <c r="F90" s="32"/>
      <c r="G90" s="32"/>
      <c r="H90" s="32"/>
      <c r="I90" s="32"/>
      <c r="J90" s="32"/>
      <c r="K90" s="32"/>
      <c r="L90" s="32"/>
      <c r="M90" s="32"/>
      <c r="N90" s="32"/>
      <c r="O90" s="32"/>
      <c r="P90" s="32"/>
      <c r="Q90" s="32"/>
    </row>
    <row r="91" spans="1:17" ht="13.8" hidden="1" x14ac:dyDescent="0.25">
      <c r="A91" s="32"/>
      <c r="B91" s="32"/>
      <c r="C91" s="32"/>
      <c r="D91" s="32"/>
      <c r="E91" s="32"/>
      <c r="F91" s="32"/>
      <c r="G91" s="32"/>
      <c r="H91" s="32"/>
      <c r="I91" s="32"/>
      <c r="J91" s="32"/>
      <c r="K91" s="32"/>
      <c r="L91" s="32"/>
      <c r="M91" s="32"/>
      <c r="N91" s="32"/>
      <c r="O91" s="32"/>
      <c r="P91" s="32"/>
      <c r="Q91" s="32"/>
    </row>
    <row r="92" spans="1:17" ht="13.8" hidden="1" x14ac:dyDescent="0.25">
      <c r="A92" s="32"/>
      <c r="B92" s="32"/>
      <c r="C92" s="32"/>
      <c r="D92" s="32"/>
      <c r="E92" s="32"/>
      <c r="F92" s="32"/>
      <c r="G92" s="32"/>
      <c r="H92" s="32"/>
      <c r="I92" s="32"/>
      <c r="J92" s="32"/>
      <c r="K92" s="32"/>
      <c r="L92" s="32"/>
      <c r="M92" s="32"/>
      <c r="N92" s="32"/>
      <c r="O92" s="32"/>
      <c r="P92" s="32"/>
      <c r="Q92" s="32"/>
    </row>
    <row r="93" spans="1:17" ht="13.8" hidden="1" x14ac:dyDescent="0.25">
      <c r="A93" s="32"/>
      <c r="B93" s="32"/>
      <c r="C93" s="32"/>
      <c r="D93" s="32"/>
      <c r="E93" s="32"/>
      <c r="F93" s="32"/>
      <c r="G93" s="32"/>
      <c r="H93" s="32"/>
      <c r="I93" s="32"/>
      <c r="J93" s="32"/>
      <c r="K93" s="32"/>
      <c r="L93" s="32"/>
      <c r="M93" s="32"/>
      <c r="N93" s="32"/>
      <c r="O93" s="32"/>
      <c r="P93" s="32"/>
      <c r="Q93" s="32"/>
    </row>
    <row r="94" spans="1:17" ht="13.8" hidden="1" x14ac:dyDescent="0.25">
      <c r="A94" s="32"/>
      <c r="B94" s="32"/>
      <c r="C94" s="32"/>
      <c r="D94" s="32"/>
      <c r="E94" s="32"/>
      <c r="F94" s="32"/>
      <c r="G94" s="32"/>
      <c r="H94" s="32"/>
      <c r="I94" s="32"/>
      <c r="J94" s="32"/>
      <c r="K94" s="32"/>
      <c r="L94" s="32"/>
      <c r="M94" s="32"/>
      <c r="N94" s="32"/>
      <c r="O94" s="32"/>
      <c r="P94" s="32"/>
      <c r="Q94" s="32"/>
    </row>
    <row r="95" spans="1:17" ht="13.8" hidden="1" x14ac:dyDescent="0.25">
      <c r="A95" s="32"/>
      <c r="B95" s="32"/>
      <c r="C95" s="32"/>
      <c r="D95" s="32"/>
      <c r="E95" s="32"/>
      <c r="F95" s="32"/>
      <c r="G95" s="32"/>
      <c r="H95" s="32"/>
      <c r="I95" s="32"/>
      <c r="J95" s="32"/>
      <c r="K95" s="32"/>
      <c r="L95" s="32"/>
      <c r="M95" s="32"/>
      <c r="N95" s="32"/>
      <c r="O95" s="32"/>
      <c r="P95" s="32"/>
      <c r="Q95" s="32"/>
    </row>
    <row r="96" spans="1:17" ht="13.8" hidden="1" x14ac:dyDescent="0.25">
      <c r="A96" s="32"/>
      <c r="B96" s="32"/>
      <c r="C96" s="32"/>
      <c r="D96" s="32"/>
      <c r="E96" s="32"/>
      <c r="F96" s="32"/>
      <c r="G96" s="32"/>
      <c r="H96" s="32"/>
      <c r="I96" s="32"/>
      <c r="J96" s="32"/>
      <c r="K96" s="32"/>
      <c r="L96" s="32"/>
      <c r="M96" s="32"/>
      <c r="N96" s="32"/>
      <c r="O96" s="32"/>
      <c r="P96" s="32"/>
      <c r="Q96" s="32"/>
    </row>
    <row r="97" spans="1:17" ht="13.8" hidden="1" x14ac:dyDescent="0.25">
      <c r="A97" s="32"/>
      <c r="B97" s="32"/>
      <c r="C97" s="32"/>
      <c r="D97" s="32"/>
      <c r="E97" s="32"/>
      <c r="F97" s="32"/>
      <c r="G97" s="32"/>
      <c r="H97" s="32"/>
      <c r="I97" s="32"/>
      <c r="J97" s="32"/>
      <c r="K97" s="32"/>
      <c r="L97" s="32"/>
      <c r="M97" s="32"/>
      <c r="N97" s="32"/>
      <c r="O97" s="32"/>
      <c r="P97" s="32"/>
      <c r="Q97" s="32"/>
    </row>
    <row r="98" spans="1:17" ht="13.8" hidden="1" x14ac:dyDescent="0.25">
      <c r="A98" s="32"/>
      <c r="B98" s="32"/>
      <c r="C98" s="32"/>
      <c r="D98" s="32"/>
      <c r="E98" s="32"/>
      <c r="F98" s="32"/>
      <c r="G98" s="32"/>
      <c r="H98" s="32"/>
      <c r="I98" s="32"/>
      <c r="J98" s="32"/>
      <c r="K98" s="32"/>
      <c r="L98" s="32"/>
      <c r="M98" s="32"/>
      <c r="N98" s="32"/>
      <c r="O98" s="32"/>
      <c r="P98" s="32"/>
      <c r="Q98" s="32"/>
    </row>
    <row r="99" spans="1:17" ht="13.8" hidden="1" x14ac:dyDescent="0.25">
      <c r="A99" s="32"/>
      <c r="B99" s="32"/>
      <c r="C99" s="32"/>
      <c r="D99" s="32"/>
      <c r="E99" s="32"/>
      <c r="F99" s="32"/>
      <c r="G99" s="32"/>
      <c r="H99" s="32"/>
      <c r="I99" s="32"/>
      <c r="J99" s="32"/>
      <c r="K99" s="32"/>
      <c r="L99" s="32"/>
      <c r="M99" s="32"/>
      <c r="N99" s="32"/>
      <c r="O99" s="32"/>
      <c r="P99" s="32"/>
      <c r="Q99" s="32"/>
    </row>
    <row r="100" spans="1:17" ht="13.8" hidden="1" x14ac:dyDescent="0.25">
      <c r="A100" s="32"/>
      <c r="B100" s="32"/>
      <c r="C100" s="32"/>
      <c r="D100" s="32"/>
      <c r="E100" s="32"/>
      <c r="F100" s="32"/>
      <c r="G100" s="32"/>
      <c r="H100" s="32"/>
      <c r="I100" s="32"/>
      <c r="J100" s="32"/>
      <c r="K100" s="32"/>
      <c r="L100" s="32"/>
      <c r="M100" s="32"/>
      <c r="N100" s="32"/>
      <c r="O100" s="32"/>
      <c r="P100" s="32"/>
      <c r="Q100" s="32"/>
    </row>
    <row r="101" spans="1:17" ht="13.8" hidden="1" x14ac:dyDescent="0.25">
      <c r="A101" s="32"/>
      <c r="B101" s="32"/>
      <c r="C101" s="32"/>
      <c r="D101" s="32"/>
      <c r="E101" s="32"/>
      <c r="F101" s="32"/>
      <c r="G101" s="32"/>
      <c r="H101" s="32"/>
      <c r="I101" s="32"/>
      <c r="J101" s="32"/>
      <c r="K101" s="32"/>
      <c r="L101" s="32"/>
      <c r="M101" s="32"/>
      <c r="N101" s="32"/>
      <c r="O101" s="32"/>
      <c r="P101" s="32"/>
      <c r="Q101" s="32"/>
    </row>
    <row r="102" spans="1:17" ht="13.8" hidden="1" x14ac:dyDescent="0.25">
      <c r="A102" s="32"/>
      <c r="B102" s="32"/>
      <c r="C102" s="32"/>
      <c r="D102" s="32"/>
      <c r="E102" s="32"/>
      <c r="F102" s="32"/>
      <c r="G102" s="32"/>
      <c r="H102" s="32"/>
      <c r="I102" s="32"/>
      <c r="J102" s="32"/>
      <c r="K102" s="32"/>
      <c r="L102" s="32"/>
      <c r="M102" s="32"/>
      <c r="N102" s="32"/>
      <c r="O102" s="32"/>
      <c r="P102" s="32"/>
      <c r="Q102" s="32"/>
    </row>
    <row r="103" spans="1:17" ht="13.8" hidden="1" x14ac:dyDescent="0.25">
      <c r="A103" s="32"/>
      <c r="B103" s="32"/>
      <c r="C103" s="32"/>
      <c r="D103" s="32"/>
      <c r="E103" s="32"/>
      <c r="F103" s="32"/>
      <c r="G103" s="32"/>
      <c r="H103" s="32"/>
      <c r="I103" s="32"/>
      <c r="J103" s="32"/>
      <c r="K103" s="32"/>
      <c r="L103" s="32"/>
      <c r="M103" s="32"/>
      <c r="N103" s="32"/>
      <c r="O103" s="32"/>
      <c r="P103" s="32"/>
      <c r="Q103" s="32"/>
    </row>
    <row r="104" spans="1:17" ht="13.8" hidden="1" x14ac:dyDescent="0.25">
      <c r="A104" s="32"/>
      <c r="B104" s="32"/>
      <c r="C104" s="32"/>
      <c r="D104" s="32"/>
      <c r="E104" s="32"/>
      <c r="F104" s="32"/>
      <c r="G104" s="32"/>
      <c r="H104" s="32"/>
      <c r="I104" s="32"/>
      <c r="J104" s="32"/>
      <c r="K104" s="32"/>
      <c r="L104" s="32"/>
      <c r="M104" s="32"/>
      <c r="N104" s="32"/>
      <c r="O104" s="32"/>
      <c r="P104" s="32"/>
      <c r="Q104" s="32"/>
    </row>
    <row r="105" spans="1:17" ht="13.8" hidden="1" x14ac:dyDescent="0.25">
      <c r="A105" s="32"/>
      <c r="B105" s="32"/>
      <c r="C105" s="32"/>
      <c r="D105" s="32"/>
      <c r="E105" s="32"/>
      <c r="F105" s="32"/>
      <c r="G105" s="32"/>
      <c r="H105" s="32"/>
      <c r="I105" s="32"/>
      <c r="J105" s="32"/>
      <c r="K105" s="32"/>
      <c r="L105" s="32"/>
      <c r="M105" s="32"/>
      <c r="N105" s="32"/>
      <c r="O105" s="32"/>
      <c r="P105" s="32"/>
      <c r="Q105" s="32"/>
    </row>
    <row r="106" spans="1:17" ht="13.8" hidden="1" x14ac:dyDescent="0.25">
      <c r="A106" s="32"/>
      <c r="B106" s="32"/>
      <c r="C106" s="32"/>
      <c r="D106" s="32"/>
      <c r="E106" s="32"/>
      <c r="F106" s="32"/>
      <c r="G106" s="32"/>
      <c r="H106" s="32"/>
      <c r="I106" s="32"/>
      <c r="J106" s="32"/>
      <c r="K106" s="32"/>
      <c r="L106" s="32"/>
      <c r="M106" s="32"/>
      <c r="N106" s="32"/>
      <c r="O106" s="32"/>
      <c r="P106" s="32"/>
      <c r="Q106" s="32"/>
    </row>
    <row r="107" spans="1:17" ht="13.8" hidden="1" x14ac:dyDescent="0.25">
      <c r="A107" s="32"/>
      <c r="B107" s="32"/>
      <c r="C107" s="32"/>
      <c r="D107" s="32"/>
      <c r="E107" s="32"/>
      <c r="F107" s="32"/>
      <c r="H107" s="32"/>
      <c r="I107" s="32"/>
      <c r="J107" s="32"/>
      <c r="K107" s="32"/>
      <c r="L107" s="32"/>
      <c r="M107" s="32"/>
      <c r="N107" s="32"/>
      <c r="O107" s="32"/>
      <c r="P107" s="32"/>
      <c r="Q107" s="32"/>
    </row>
    <row r="108" spans="1:17" ht="13.8" hidden="1" x14ac:dyDescent="0.25">
      <c r="A108" s="32"/>
      <c r="B108" s="32"/>
      <c r="C108" s="32"/>
      <c r="D108" s="32"/>
      <c r="E108" s="32"/>
      <c r="F108" s="32"/>
      <c r="H108" s="32"/>
      <c r="I108" s="32"/>
      <c r="J108" s="32"/>
      <c r="K108" s="32"/>
      <c r="L108" s="32"/>
      <c r="M108" s="32"/>
      <c r="N108" s="32"/>
      <c r="O108" s="32"/>
      <c r="P108" s="32"/>
      <c r="Q108" s="32"/>
    </row>
    <row r="109" spans="1:17" ht="13.8" hidden="1" x14ac:dyDescent="0.25">
      <c r="A109" s="32"/>
      <c r="B109" s="32"/>
      <c r="C109" s="32"/>
      <c r="D109" s="32"/>
      <c r="E109" s="32"/>
      <c r="F109" s="32"/>
      <c r="H109" s="32"/>
      <c r="I109" s="32"/>
      <c r="J109" s="32"/>
      <c r="K109" s="32"/>
      <c r="L109" s="32"/>
      <c r="M109" s="32"/>
      <c r="N109" s="32"/>
      <c r="O109" s="32"/>
      <c r="P109" s="32"/>
      <c r="Q109" s="32"/>
    </row>
    <row r="110" spans="1:17" ht="13.8" hidden="1" x14ac:dyDescent="0.25">
      <c r="A110" s="32"/>
      <c r="B110" s="32"/>
      <c r="C110" s="32"/>
      <c r="D110" s="32"/>
      <c r="E110" s="32"/>
      <c r="F110" s="32"/>
      <c r="H110" s="32"/>
      <c r="I110" s="32"/>
      <c r="J110" s="32"/>
      <c r="K110" s="32"/>
      <c r="L110" s="32"/>
      <c r="M110" s="32"/>
      <c r="N110" s="32"/>
      <c r="O110" s="32"/>
      <c r="P110" s="32"/>
      <c r="Q110" s="32"/>
    </row>
    <row r="111" spans="1:17" ht="13.8" hidden="1" x14ac:dyDescent="0.25">
      <c r="A111" s="32"/>
      <c r="B111" s="32"/>
      <c r="C111" s="32"/>
      <c r="D111" s="32"/>
      <c r="E111" s="32"/>
      <c r="F111" s="32"/>
      <c r="H111" s="32"/>
      <c r="I111" s="32"/>
      <c r="J111" s="32"/>
      <c r="K111" s="32"/>
      <c r="L111" s="32"/>
      <c r="M111" s="32"/>
      <c r="N111" s="32"/>
      <c r="O111" s="32"/>
      <c r="P111" s="32"/>
      <c r="Q111" s="32"/>
    </row>
    <row r="112" spans="1:17" ht="13.8" hidden="1" x14ac:dyDescent="0.25">
      <c r="A112" s="32"/>
      <c r="B112" s="32"/>
      <c r="C112" s="32"/>
      <c r="D112" s="32"/>
      <c r="E112" s="32"/>
      <c r="F112" s="32"/>
      <c r="H112" s="32"/>
      <c r="I112" s="32"/>
      <c r="J112" s="32"/>
      <c r="K112" s="32"/>
      <c r="L112" s="32"/>
      <c r="M112" s="32"/>
      <c r="N112" s="32"/>
      <c r="O112" s="32"/>
      <c r="P112" s="32"/>
      <c r="Q112" s="32"/>
    </row>
    <row r="113" spans="1:17" ht="13.8" hidden="1" x14ac:dyDescent="0.25">
      <c r="A113" s="32"/>
      <c r="B113" s="32"/>
      <c r="C113" s="32"/>
      <c r="D113" s="32"/>
      <c r="E113" s="32"/>
      <c r="F113" s="32"/>
      <c r="H113" s="32"/>
      <c r="I113" s="32"/>
      <c r="J113" s="32"/>
      <c r="K113" s="32"/>
      <c r="L113" s="32"/>
      <c r="M113" s="32"/>
      <c r="N113" s="32"/>
      <c r="O113" s="32"/>
      <c r="P113" s="32"/>
      <c r="Q113" s="32"/>
    </row>
    <row r="114" spans="1:17" ht="13.8" hidden="1" x14ac:dyDescent="0.25">
      <c r="A114" s="32"/>
      <c r="B114" s="32"/>
      <c r="C114" s="32"/>
      <c r="D114" s="32"/>
      <c r="E114" s="32"/>
      <c r="F114" s="32"/>
      <c r="H114" s="32"/>
      <c r="I114" s="32"/>
      <c r="J114" s="32"/>
      <c r="K114" s="32"/>
      <c r="L114" s="32"/>
      <c r="M114" s="32"/>
      <c r="N114" s="32"/>
      <c r="O114" s="32"/>
      <c r="P114" s="32"/>
      <c r="Q114" s="32"/>
    </row>
    <row r="115" spans="1:17" ht="13.8" hidden="1" x14ac:dyDescent="0.25">
      <c r="A115" s="32"/>
      <c r="B115" s="32"/>
      <c r="C115" s="32"/>
      <c r="D115" s="32"/>
      <c r="E115" s="32"/>
      <c r="F115" s="32"/>
      <c r="H115" s="32"/>
      <c r="I115" s="32"/>
      <c r="J115" s="32"/>
      <c r="K115" s="32"/>
      <c r="L115" s="32"/>
      <c r="M115" s="32"/>
      <c r="N115" s="32"/>
      <c r="O115" s="32"/>
      <c r="P115" s="32"/>
      <c r="Q115" s="32"/>
    </row>
    <row r="116" spans="1:17" ht="13.8" hidden="1" x14ac:dyDescent="0.25">
      <c r="A116" s="32"/>
      <c r="B116" s="32"/>
      <c r="C116" s="32"/>
      <c r="D116" s="32"/>
      <c r="E116" s="32"/>
      <c r="F116" s="32"/>
      <c r="H116" s="32"/>
      <c r="I116" s="32"/>
      <c r="J116" s="32"/>
      <c r="K116" s="32"/>
      <c r="L116" s="32"/>
      <c r="M116" s="32"/>
      <c r="N116" s="32"/>
      <c r="O116" s="32"/>
      <c r="P116" s="32"/>
      <c r="Q116" s="32"/>
    </row>
    <row r="117" spans="1:17" ht="13.8" hidden="1" x14ac:dyDescent="0.25">
      <c r="A117" s="32"/>
      <c r="B117" s="32"/>
      <c r="C117" s="32"/>
      <c r="D117" s="32"/>
      <c r="E117" s="32"/>
      <c r="F117" s="32"/>
      <c r="H117" s="32"/>
      <c r="I117" s="32"/>
      <c r="J117" s="32"/>
      <c r="K117" s="32"/>
      <c r="L117" s="32"/>
      <c r="M117" s="32"/>
      <c r="N117" s="32"/>
      <c r="O117" s="32"/>
      <c r="P117" s="32"/>
      <c r="Q117" s="32"/>
    </row>
    <row r="118" spans="1:17" ht="13.8" hidden="1" x14ac:dyDescent="0.25">
      <c r="A118" s="32"/>
      <c r="B118" s="32"/>
      <c r="C118" s="32"/>
      <c r="D118" s="32"/>
      <c r="E118" s="32"/>
      <c r="F118" s="32"/>
      <c r="H118" s="32"/>
      <c r="I118" s="32"/>
      <c r="J118" s="32"/>
      <c r="K118" s="32"/>
      <c r="L118" s="32"/>
      <c r="M118" s="32"/>
      <c r="N118" s="32"/>
      <c r="O118" s="32"/>
      <c r="P118" s="32"/>
      <c r="Q118" s="32"/>
    </row>
    <row r="119" spans="1:17" ht="13.8" hidden="1" x14ac:dyDescent="0.25">
      <c r="A119" s="32"/>
      <c r="B119" s="32"/>
      <c r="C119" s="32"/>
      <c r="D119" s="32"/>
      <c r="E119" s="32"/>
      <c r="F119" s="32"/>
      <c r="H119" s="32"/>
      <c r="I119" s="32"/>
      <c r="J119" s="32"/>
      <c r="K119" s="32"/>
      <c r="L119" s="32"/>
      <c r="M119" s="32"/>
      <c r="N119" s="32"/>
      <c r="O119" s="32"/>
      <c r="P119" s="32"/>
      <c r="Q119" s="32"/>
    </row>
    <row r="120" spans="1:17" ht="13.8" hidden="1" x14ac:dyDescent="0.25">
      <c r="A120" s="32"/>
      <c r="B120" s="32"/>
      <c r="C120" s="32"/>
      <c r="D120" s="32"/>
      <c r="E120" s="32"/>
      <c r="F120" s="32"/>
      <c r="H120" s="32"/>
      <c r="I120" s="32"/>
      <c r="J120" s="32"/>
      <c r="K120" s="32"/>
      <c r="L120" s="32"/>
      <c r="M120" s="32"/>
      <c r="N120" s="32"/>
      <c r="O120" s="32"/>
      <c r="P120" s="32"/>
      <c r="Q120" s="32"/>
    </row>
    <row r="121" spans="1:17" ht="13.8" hidden="1" x14ac:dyDescent="0.25">
      <c r="A121" s="32"/>
      <c r="B121" s="32"/>
      <c r="C121" s="32"/>
      <c r="D121" s="32"/>
      <c r="E121" s="32"/>
      <c r="F121" s="32"/>
      <c r="H121" s="32"/>
      <c r="I121" s="32"/>
      <c r="J121" s="32"/>
      <c r="K121" s="32"/>
      <c r="L121" s="32"/>
      <c r="M121" s="32"/>
      <c r="N121" s="32"/>
      <c r="O121" s="32"/>
      <c r="P121" s="32"/>
      <c r="Q121" s="32"/>
    </row>
    <row r="122" spans="1:17" ht="13.8" hidden="1" x14ac:dyDescent="0.25">
      <c r="A122" s="32"/>
      <c r="B122" s="32"/>
      <c r="C122" s="32"/>
      <c r="D122" s="32"/>
      <c r="E122" s="32"/>
      <c r="F122" s="32"/>
      <c r="H122" s="32"/>
      <c r="I122" s="32"/>
      <c r="J122" s="32"/>
      <c r="K122" s="32"/>
      <c r="L122" s="32"/>
      <c r="M122" s="32"/>
      <c r="N122" s="32"/>
      <c r="O122" s="32"/>
      <c r="P122" s="32"/>
      <c r="Q122" s="32"/>
    </row>
    <row r="123" spans="1:17" ht="13.8" hidden="1" x14ac:dyDescent="0.25">
      <c r="A123" s="32"/>
      <c r="B123" s="32"/>
      <c r="C123" s="32"/>
      <c r="D123" s="32"/>
      <c r="E123" s="32"/>
      <c r="F123" s="32"/>
      <c r="H123" s="32"/>
      <c r="I123" s="32"/>
      <c r="J123" s="32"/>
      <c r="K123" s="32"/>
      <c r="L123" s="32"/>
      <c r="M123" s="32"/>
      <c r="N123" s="32"/>
      <c r="O123" s="32"/>
      <c r="P123" s="32"/>
      <c r="Q123" s="32"/>
    </row>
    <row r="124" spans="1:17" ht="13.8" hidden="1" x14ac:dyDescent="0.25">
      <c r="A124" s="32"/>
      <c r="B124" s="32"/>
      <c r="C124" s="32"/>
      <c r="D124" s="32"/>
      <c r="E124" s="32"/>
      <c r="F124" s="32"/>
      <c r="H124" s="32"/>
      <c r="I124" s="32"/>
      <c r="J124" s="32"/>
      <c r="K124" s="32"/>
      <c r="L124" s="32"/>
      <c r="M124" s="32"/>
      <c r="N124" s="32"/>
      <c r="O124" s="32"/>
      <c r="P124" s="32"/>
      <c r="Q124" s="32"/>
    </row>
    <row r="125" spans="1:17" ht="13.8" hidden="1" x14ac:dyDescent="0.25">
      <c r="A125" s="32"/>
      <c r="B125" s="32"/>
      <c r="C125" s="32"/>
      <c r="D125" s="32"/>
      <c r="E125" s="32"/>
      <c r="F125" s="32"/>
      <c r="H125" s="32"/>
      <c r="I125" s="32"/>
      <c r="J125" s="32"/>
      <c r="K125" s="32"/>
      <c r="L125" s="32"/>
      <c r="M125" s="32"/>
      <c r="N125" s="32"/>
      <c r="O125" s="32"/>
      <c r="P125" s="32"/>
      <c r="Q125" s="32"/>
    </row>
    <row r="126" spans="1:17" ht="13.8" hidden="1" x14ac:dyDescent="0.25">
      <c r="A126" s="32"/>
      <c r="B126" s="32"/>
      <c r="C126" s="32"/>
      <c r="D126" s="32"/>
      <c r="E126" s="32"/>
      <c r="F126" s="32"/>
      <c r="H126" s="32"/>
      <c r="I126" s="32"/>
      <c r="J126" s="32"/>
      <c r="K126" s="32"/>
      <c r="L126" s="32"/>
      <c r="M126" s="32"/>
      <c r="N126" s="32"/>
      <c r="O126" s="32"/>
      <c r="P126" s="32"/>
      <c r="Q126" s="32"/>
    </row>
    <row r="127" spans="1:17" ht="13.8" hidden="1" x14ac:dyDescent="0.25">
      <c r="A127" s="32"/>
      <c r="B127" s="32"/>
      <c r="C127" s="32"/>
      <c r="D127" s="32"/>
      <c r="E127" s="32"/>
      <c r="F127" s="32"/>
      <c r="H127" s="32"/>
      <c r="I127" s="32"/>
      <c r="J127" s="32"/>
      <c r="K127" s="32"/>
      <c r="L127" s="32"/>
      <c r="M127" s="32"/>
      <c r="N127" s="32"/>
      <c r="O127" s="32"/>
      <c r="P127" s="32"/>
      <c r="Q127" s="32"/>
    </row>
    <row r="128" spans="1:17" ht="13.8" hidden="1" x14ac:dyDescent="0.25">
      <c r="A128" s="32"/>
      <c r="B128" s="32"/>
      <c r="C128" s="32"/>
      <c r="D128" s="32"/>
      <c r="E128" s="32"/>
      <c r="F128" s="32"/>
      <c r="H128" s="32"/>
      <c r="I128" s="32"/>
      <c r="J128" s="32"/>
      <c r="K128" s="32"/>
      <c r="L128" s="32"/>
      <c r="M128" s="32"/>
      <c r="N128" s="32"/>
      <c r="O128" s="32"/>
      <c r="P128" s="32"/>
      <c r="Q128" s="32"/>
    </row>
    <row r="129" spans="1:17" ht="13.8" hidden="1" x14ac:dyDescent="0.25">
      <c r="A129" s="32"/>
      <c r="B129" s="32"/>
      <c r="C129" s="32"/>
      <c r="D129" s="32"/>
      <c r="E129" s="32"/>
      <c r="F129" s="32"/>
      <c r="H129" s="32"/>
      <c r="I129" s="32"/>
      <c r="J129" s="32"/>
      <c r="K129" s="32"/>
      <c r="L129" s="32"/>
      <c r="M129" s="32"/>
      <c r="N129" s="32"/>
      <c r="O129" s="32"/>
      <c r="P129" s="32"/>
      <c r="Q129" s="32"/>
    </row>
    <row r="130" spans="1:17" ht="13.8" hidden="1" x14ac:dyDescent="0.25">
      <c r="A130" s="32"/>
      <c r="B130" s="32"/>
      <c r="C130" s="32"/>
      <c r="D130" s="32"/>
      <c r="E130" s="32"/>
      <c r="F130" s="32"/>
      <c r="H130" s="32"/>
      <c r="I130" s="32"/>
      <c r="J130" s="32"/>
      <c r="K130" s="32"/>
      <c r="L130" s="32"/>
      <c r="M130" s="32"/>
      <c r="N130" s="32"/>
      <c r="O130" s="32"/>
      <c r="P130" s="32"/>
      <c r="Q130" s="32"/>
    </row>
    <row r="131" spans="1:17" ht="13.8" hidden="1" x14ac:dyDescent="0.25">
      <c r="A131" s="32"/>
      <c r="B131" s="32"/>
      <c r="C131" s="32"/>
      <c r="D131" s="32"/>
      <c r="E131" s="32"/>
      <c r="F131" s="32"/>
      <c r="H131" s="32"/>
      <c r="K131" s="32"/>
      <c r="L131" s="32"/>
      <c r="M131" s="32"/>
      <c r="N131" s="32"/>
      <c r="O131" s="32"/>
      <c r="P131" s="32"/>
      <c r="Q131" s="32"/>
    </row>
    <row r="132" spans="1:17" ht="13.8" hidden="1" x14ac:dyDescent="0.25">
      <c r="A132" s="32"/>
      <c r="B132" s="32"/>
      <c r="C132" s="32"/>
      <c r="D132" s="32"/>
      <c r="E132" s="32"/>
      <c r="F132" s="32"/>
      <c r="H132" s="32"/>
      <c r="K132" s="32"/>
      <c r="L132" s="32"/>
      <c r="M132" s="32"/>
      <c r="N132" s="32"/>
      <c r="O132" s="32"/>
      <c r="P132" s="32"/>
      <c r="Q132" s="32"/>
    </row>
    <row r="133" spans="1:17" ht="13.8" hidden="1" x14ac:dyDescent="0.25">
      <c r="A133" s="32"/>
      <c r="B133" s="32"/>
      <c r="C133" s="32"/>
      <c r="D133" s="32"/>
      <c r="E133" s="32"/>
      <c r="F133" s="32"/>
      <c r="H133" s="32"/>
      <c r="K133" s="32"/>
      <c r="L133" s="32"/>
      <c r="M133" s="32"/>
      <c r="N133" s="32"/>
      <c r="O133" s="32"/>
      <c r="P133" s="32"/>
      <c r="Q133" s="32"/>
    </row>
    <row r="134" spans="1:17" ht="13.8" hidden="1" x14ac:dyDescent="0.25">
      <c r="A134" s="32"/>
      <c r="B134" s="32"/>
      <c r="C134" s="32"/>
      <c r="D134" s="32"/>
      <c r="E134" s="32"/>
      <c r="F134" s="32"/>
      <c r="H134" s="32"/>
      <c r="K134" s="32"/>
      <c r="L134" s="32"/>
      <c r="M134" s="32"/>
      <c r="N134" s="32"/>
      <c r="O134" s="32"/>
      <c r="P134" s="32"/>
      <c r="Q134" s="32"/>
    </row>
    <row r="135" spans="1:17" ht="13.8" hidden="1" x14ac:dyDescent="0.25">
      <c r="A135" s="32"/>
      <c r="B135" s="32"/>
      <c r="C135" s="32"/>
      <c r="D135" s="32"/>
      <c r="E135" s="32"/>
      <c r="F135" s="32"/>
      <c r="H135" s="32"/>
      <c r="K135" s="32"/>
      <c r="L135" s="32"/>
      <c r="M135" s="32"/>
      <c r="N135" s="32"/>
      <c r="O135" s="32"/>
      <c r="P135" s="32"/>
      <c r="Q135" s="32"/>
    </row>
    <row r="136" spans="1:17" ht="13.8" hidden="1" x14ac:dyDescent="0.25">
      <c r="A136" s="32"/>
      <c r="B136" s="32"/>
      <c r="C136" s="32"/>
      <c r="D136" s="32"/>
      <c r="E136" s="32"/>
      <c r="F136" s="32"/>
      <c r="H136" s="32"/>
      <c r="K136" s="32"/>
      <c r="L136" s="32"/>
      <c r="M136" s="32"/>
      <c r="N136" s="32"/>
      <c r="O136" s="32"/>
      <c r="P136" s="32"/>
      <c r="Q136" s="32"/>
    </row>
    <row r="137" spans="1:17" ht="13.8" hidden="1" x14ac:dyDescent="0.25">
      <c r="A137" s="32"/>
      <c r="B137" s="32"/>
      <c r="C137" s="32"/>
      <c r="D137" s="32"/>
      <c r="E137" s="32"/>
      <c r="F137" s="32"/>
      <c r="H137" s="32"/>
      <c r="K137" s="32"/>
      <c r="L137" s="32"/>
      <c r="M137" s="32"/>
      <c r="N137" s="32"/>
      <c r="O137" s="32"/>
      <c r="P137" s="32"/>
      <c r="Q137" s="32"/>
    </row>
    <row r="138" spans="1:17" ht="13.8" hidden="1" x14ac:dyDescent="0.25">
      <c r="A138" s="32"/>
      <c r="B138" s="32"/>
      <c r="C138" s="32"/>
      <c r="D138" s="32"/>
      <c r="E138" s="32"/>
      <c r="F138" s="32"/>
      <c r="H138" s="32"/>
      <c r="K138" s="32"/>
      <c r="L138" s="32"/>
      <c r="M138" s="32"/>
      <c r="N138" s="32"/>
      <c r="O138" s="32"/>
      <c r="P138" s="32"/>
      <c r="Q138" s="32"/>
    </row>
    <row r="139" spans="1:17" ht="13.8" hidden="1" x14ac:dyDescent="0.25">
      <c r="A139" s="32"/>
      <c r="B139" s="32"/>
      <c r="C139" s="32"/>
      <c r="D139" s="32"/>
      <c r="E139" s="32"/>
      <c r="F139" s="32"/>
      <c r="H139" s="32"/>
      <c r="K139" s="32"/>
      <c r="L139" s="32"/>
      <c r="M139" s="32"/>
      <c r="N139" s="32"/>
      <c r="O139" s="32"/>
      <c r="P139" s="32"/>
      <c r="Q139" s="32"/>
    </row>
    <row r="140" spans="1:17" ht="13.8" hidden="1" x14ac:dyDescent="0.25">
      <c r="A140" s="32"/>
      <c r="B140" s="32"/>
      <c r="C140" s="32"/>
      <c r="D140" s="32"/>
      <c r="E140" s="32"/>
      <c r="F140" s="32"/>
      <c r="H140" s="32"/>
      <c r="K140" s="32"/>
      <c r="L140" s="32"/>
      <c r="M140" s="32"/>
      <c r="N140" s="32"/>
      <c r="O140" s="32"/>
      <c r="P140" s="32"/>
      <c r="Q140" s="32"/>
    </row>
    <row r="141" spans="1:17" ht="13.8" hidden="1" x14ac:dyDescent="0.25">
      <c r="A141" s="32"/>
      <c r="B141" s="32"/>
      <c r="C141" s="32"/>
      <c r="D141" s="32"/>
      <c r="E141" s="32"/>
      <c r="F141" s="32"/>
      <c r="H141" s="32"/>
      <c r="K141" s="32"/>
      <c r="L141" s="32"/>
      <c r="M141" s="32"/>
      <c r="N141" s="32"/>
      <c r="O141" s="32"/>
      <c r="P141" s="32"/>
      <c r="Q141" s="32"/>
    </row>
    <row r="142" spans="1:17" ht="13.8" hidden="1" x14ac:dyDescent="0.25">
      <c r="A142" s="32"/>
      <c r="B142" s="32"/>
      <c r="C142" s="32"/>
      <c r="D142" s="32"/>
      <c r="E142" s="32"/>
      <c r="F142" s="32"/>
      <c r="H142" s="32"/>
      <c r="K142" s="32"/>
      <c r="L142" s="32"/>
      <c r="M142" s="32"/>
      <c r="N142" s="32"/>
      <c r="O142" s="32"/>
      <c r="P142" s="32"/>
      <c r="Q142" s="32"/>
    </row>
    <row r="143" spans="1:17" ht="13.8" hidden="1" x14ac:dyDescent="0.25">
      <c r="A143" s="32"/>
      <c r="B143" s="32"/>
      <c r="C143" s="32"/>
      <c r="D143" s="32"/>
      <c r="E143" s="32"/>
      <c r="F143" s="32"/>
      <c r="H143" s="32"/>
      <c r="K143" s="32"/>
      <c r="L143" s="32"/>
      <c r="M143" s="32"/>
      <c r="N143" s="32"/>
      <c r="O143" s="32"/>
      <c r="P143" s="32"/>
      <c r="Q143" s="32"/>
    </row>
    <row r="144" spans="1:17" ht="13.8" hidden="1" x14ac:dyDescent="0.25">
      <c r="A144" s="32"/>
    </row>
    <row r="145" spans="1:1" ht="13.8" hidden="1" x14ac:dyDescent="0.25">
      <c r="A145" s="32"/>
    </row>
    <row r="146" spans="1:1" ht="13.8" hidden="1" x14ac:dyDescent="0.25">
      <c r="A146" s="32"/>
    </row>
    <row r="147" spans="1:1" ht="13.8" hidden="1" x14ac:dyDescent="0.25">
      <c r="A147" s="32"/>
    </row>
    <row r="148" spans="1:1" ht="13.8" hidden="1" x14ac:dyDescent="0.25">
      <c r="A148" s="32"/>
    </row>
    <row r="149" spans="1:1" ht="13.8" hidden="1" x14ac:dyDescent="0.25">
      <c r="A149" s="32"/>
    </row>
    <row r="150" spans="1:1" ht="13.8" hidden="1" x14ac:dyDescent="0.25">
      <c r="A150" s="32"/>
    </row>
    <row r="151" spans="1:1" ht="13.8" hidden="1" x14ac:dyDescent="0.25">
      <c r="A151" s="32"/>
    </row>
    <row r="152" spans="1:1" ht="13.8" hidden="1" x14ac:dyDescent="0.25">
      <c r="A152" s="32"/>
    </row>
    <row r="153" spans="1:1" ht="13.8" hidden="1" x14ac:dyDescent="0.25">
      <c r="A153" s="32"/>
    </row>
    <row r="154" spans="1:1" ht="13.8" hidden="1" x14ac:dyDescent="0.25">
      <c r="A154" s="32"/>
    </row>
    <row r="155" spans="1:1" ht="13.8" hidden="1" x14ac:dyDescent="0.25">
      <c r="A155" s="32"/>
    </row>
    <row r="156" spans="1:1" ht="13.8" hidden="1" x14ac:dyDescent="0.25">
      <c r="A156" s="32"/>
    </row>
    <row r="157" spans="1:1" ht="13.8" hidden="1" x14ac:dyDescent="0.25">
      <c r="A157" s="32"/>
    </row>
    <row r="158" spans="1:1" ht="13.8" hidden="1" x14ac:dyDescent="0.25">
      <c r="A158" s="32"/>
    </row>
    <row r="159" spans="1:1" ht="13.8" hidden="1" x14ac:dyDescent="0.25">
      <c r="A159" s="32"/>
    </row>
    <row r="160" spans="1:1" ht="13.8" hidden="1" x14ac:dyDescent="0.25">
      <c r="A160" s="32"/>
    </row>
    <row r="161" spans="1:1" ht="13.8" hidden="1" x14ac:dyDescent="0.25">
      <c r="A161" s="32"/>
    </row>
    <row r="162" spans="1:1" ht="13.8" hidden="1" x14ac:dyDescent="0.25">
      <c r="A162" s="32"/>
    </row>
    <row r="163" spans="1:1" ht="13.8" hidden="1" x14ac:dyDescent="0.25">
      <c r="A163" s="32"/>
    </row>
    <row r="164" spans="1:1" ht="13.8" hidden="1" x14ac:dyDescent="0.25">
      <c r="A164" s="32"/>
    </row>
    <row r="165" spans="1:1" ht="13.8" hidden="1" x14ac:dyDescent="0.25">
      <c r="A165" s="32"/>
    </row>
    <row r="166" spans="1:1" ht="13.8" hidden="1" x14ac:dyDescent="0.25">
      <c r="A166" s="32"/>
    </row>
    <row r="167" spans="1:1" ht="13.8" hidden="1" x14ac:dyDescent="0.25">
      <c r="A167" s="32"/>
    </row>
    <row r="168" spans="1:1" ht="13.8" hidden="1" x14ac:dyDescent="0.25">
      <c r="A168" s="32"/>
    </row>
    <row r="169" spans="1:1" ht="13.8" hidden="1" x14ac:dyDescent="0.25">
      <c r="A169" s="32"/>
    </row>
    <row r="170" spans="1:1" ht="13.8" hidden="1" x14ac:dyDescent="0.25">
      <c r="A170" s="32"/>
    </row>
    <row r="171" spans="1:1" ht="13.8" hidden="1" x14ac:dyDescent="0.25">
      <c r="A171" s="32"/>
    </row>
    <row r="172" spans="1:1" ht="13.8" hidden="1" x14ac:dyDescent="0.25">
      <c r="A172" s="32"/>
    </row>
    <row r="173" spans="1:1" ht="13.8" hidden="1" x14ac:dyDescent="0.25">
      <c r="A173" s="32"/>
    </row>
    <row r="174" spans="1:1" ht="13.8" hidden="1" x14ac:dyDescent="0.25">
      <c r="A174" s="32"/>
    </row>
    <row r="175" spans="1:1" ht="13.8" hidden="1" x14ac:dyDescent="0.25">
      <c r="A175" s="32"/>
    </row>
    <row r="176" spans="1:1" ht="13.8" hidden="1" x14ac:dyDescent="0.25">
      <c r="A176" s="32"/>
    </row>
    <row r="177" spans="1:1" ht="13.8" hidden="1" x14ac:dyDescent="0.25">
      <c r="A177" s="32"/>
    </row>
    <row r="178" spans="1:1" ht="13.8" hidden="1" x14ac:dyDescent="0.25">
      <c r="A178" s="32"/>
    </row>
    <row r="179" spans="1:1" ht="13.8" hidden="1" x14ac:dyDescent="0.25">
      <c r="A179" s="32"/>
    </row>
    <row r="180" spans="1:1" ht="13.8" hidden="1" x14ac:dyDescent="0.25">
      <c r="A180" s="32"/>
    </row>
    <row r="181" spans="1:1" ht="13.8" hidden="1" x14ac:dyDescent="0.25">
      <c r="A181" s="32"/>
    </row>
    <row r="182" spans="1:1" ht="13.8" hidden="1" x14ac:dyDescent="0.25">
      <c r="A182" s="32"/>
    </row>
    <row r="183" spans="1:1" ht="13.8" hidden="1" x14ac:dyDescent="0.25">
      <c r="A183" s="32"/>
    </row>
    <row r="184" spans="1:1" ht="13.8" x14ac:dyDescent="0.25"/>
    <row r="185" spans="1:1" ht="13.8" x14ac:dyDescent="0.25"/>
    <row r="186" spans="1:1" ht="13.8" x14ac:dyDescent="0.25"/>
    <row r="187" spans="1:1" ht="13.8" x14ac:dyDescent="0.25"/>
    <row r="188" spans="1:1" ht="13.8" x14ac:dyDescent="0.25"/>
    <row r="189" spans="1:1" ht="13.8" x14ac:dyDescent="0.25"/>
    <row r="190" spans="1:1" ht="13.8" x14ac:dyDescent="0.25"/>
    <row r="191" spans="1:1" ht="13.8" x14ac:dyDescent="0.25"/>
    <row r="192" spans="1:1"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sheetData>
  <sheetProtection algorithmName="SHA-512" hashValue="TQ1G7t3G1YqxCkxDnTd2VlXj3wwqnzJXpDXPPc2/ORJm4AvY8Cljku3ujwQPG7yVzSn1Tn4N3y8MIoQZ41Z9HQ==" saltValue="b/YHlQTwnPK1p3VnS2pHuQ==" spinCount="100000" sheet="1" objects="1" scenarios="1"/>
  <mergeCells count="21">
    <mergeCell ref="G11:H11"/>
    <mergeCell ref="I13:J13"/>
    <mergeCell ref="B11:E11"/>
    <mergeCell ref="B20:E20"/>
    <mergeCell ref="G40:H40"/>
    <mergeCell ref="G28:H28"/>
    <mergeCell ref="B28:E28"/>
    <mergeCell ref="B40:E40"/>
    <mergeCell ref="G20:H20"/>
    <mergeCell ref="G8:H8"/>
    <mergeCell ref="B2:H2"/>
    <mergeCell ref="G3:H4"/>
    <mergeCell ref="G5:H5"/>
    <mergeCell ref="G6:H6"/>
    <mergeCell ref="G7:H7"/>
    <mergeCell ref="B3:B4"/>
    <mergeCell ref="C3:F4"/>
    <mergeCell ref="C5:F5"/>
    <mergeCell ref="C6:F6"/>
    <mergeCell ref="C7:F7"/>
    <mergeCell ref="C8:F8"/>
  </mergeCells>
  <conditionalFormatting sqref="B32 B43">
    <cfRule type="expression" dxfId="569" priority="359">
      <formula>#REF!&gt;0</formula>
    </cfRule>
    <cfRule type="expression" dxfId="568" priority="360">
      <formula>#REF!&lt;0</formula>
    </cfRule>
  </conditionalFormatting>
  <conditionalFormatting sqref="B13:E13">
    <cfRule type="expression" dxfId="567" priority="365">
      <formula>$E13&gt;0</formula>
    </cfRule>
    <cfRule type="expression" dxfId="566" priority="366">
      <formula>$E13&lt;0</formula>
    </cfRule>
  </conditionalFormatting>
  <conditionalFormatting sqref="B22:E22 B30:E31 B42:E42">
    <cfRule type="expression" dxfId="565" priority="367">
      <formula>$E22&gt;0</formula>
    </cfRule>
    <cfRule type="expression" dxfId="564" priority="368">
      <formula>$E22&lt;0</formula>
    </cfRule>
  </conditionalFormatting>
  <conditionalFormatting sqref="G5:G8">
    <cfRule type="containsText" dxfId="563" priority="22" operator="containsText" text="Yes">
      <formula>NOT(ISERROR(SEARCH("Yes",G5)))</formula>
    </cfRule>
    <cfRule type="containsText" dxfId="562" priority="23" operator="containsText" text="No">
      <formula>NOT(ISERROR(SEARCH("No",G5)))</formula>
    </cfRule>
  </conditionalFormatting>
  <conditionalFormatting sqref="H12">
    <cfRule type="cellIs" dxfId="561" priority="24" operator="greaterThan">
      <formula>0</formula>
    </cfRule>
    <cfRule type="cellIs" dxfId="560" priority="25" operator="lessThan">
      <formula>0</formula>
    </cfRule>
  </conditionalFormatting>
  <conditionalFormatting sqref="H21:H22">
    <cfRule type="cellIs" dxfId="559" priority="18" operator="greaterThan">
      <formula>0</formula>
    </cfRule>
    <cfRule type="cellIs" dxfId="558" priority="20" operator="lessThan">
      <formula>0</formula>
    </cfRule>
  </conditionalFormatting>
  <conditionalFormatting sqref="H29 H41:H42">
    <cfRule type="cellIs" dxfId="557" priority="17" operator="greaterThan">
      <formula>0</formula>
    </cfRule>
  </conditionalFormatting>
  <conditionalFormatting sqref="H29:H30">
    <cfRule type="cellIs" dxfId="556" priority="15" operator="lessThan">
      <formula>0</formula>
    </cfRule>
  </conditionalFormatting>
  <conditionalFormatting sqref="H41:H42">
    <cfRule type="cellIs" dxfId="555" priority="16" operator="lessThan">
      <formula>0</formula>
    </cfRule>
  </conditionalFormatting>
  <conditionalFormatting sqref="I13:J13">
    <cfRule type="containsText" dxfId="554"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election activeCell="B7" sqref="B7"/>
    </sheetView>
  </sheetViews>
  <sheetFormatPr defaultColWidth="8.77734375" defaultRowHeight="14.4" x14ac:dyDescent="0.3"/>
  <cols>
    <col min="1" max="1" width="8.77734375" style="757"/>
    <col min="2" max="2" width="10" style="1" customWidth="1"/>
    <col min="3" max="3" width="14.21875" style="1" customWidth="1"/>
    <col min="4" max="9" width="8.77734375" style="1"/>
    <col min="10" max="10" width="23.21875" style="1" customWidth="1"/>
    <col min="11" max="11" width="12.21875" style="1" customWidth="1"/>
    <col min="12" max="12" width="23.5546875" style="1" customWidth="1"/>
    <col min="13" max="13" width="8.77734375" style="757"/>
    <col min="14" max="14" width="11.44140625" style="1" customWidth="1"/>
    <col min="15" max="15" width="13.5546875" style="1" customWidth="1"/>
    <col min="16" max="16" width="14.5546875" style="1" customWidth="1"/>
    <col min="17" max="17" width="19.21875" style="1" customWidth="1"/>
    <col min="18" max="18" width="15.21875" style="1" customWidth="1"/>
    <col min="19" max="19" width="21.21875" style="1" customWidth="1"/>
    <col min="20" max="20" width="10.44140625" style="1" customWidth="1"/>
    <col min="21" max="21" width="24.44140625" style="1" customWidth="1"/>
    <col min="22" max="23" width="8.77734375" style="1"/>
    <col min="24" max="24" width="13.21875" style="1" customWidth="1"/>
    <col min="25" max="27" width="12.44140625" style="1" customWidth="1"/>
    <col min="28" max="28" width="26.44140625" style="1" customWidth="1"/>
    <col min="29" max="29" width="8.77734375" style="1"/>
    <col min="30" max="30" width="20.77734375" style="1" customWidth="1"/>
    <col min="31" max="31" width="8.77734375" style="1"/>
    <col min="32" max="32" width="11.21875" style="1" customWidth="1"/>
    <col min="33" max="16384" width="8.77734375" style="1"/>
  </cols>
  <sheetData>
    <row r="1" spans="1:32" ht="19.5" customHeight="1" x14ac:dyDescent="0.3"/>
    <row r="2" spans="1:32" ht="15" thickBot="1" x14ac:dyDescent="0.35"/>
    <row r="3" spans="1:32" ht="35.549999999999997" customHeight="1" x14ac:dyDescent="0.3">
      <c r="B3" s="1381" t="s">
        <v>249</v>
      </c>
      <c r="C3" s="1382"/>
      <c r="D3" s="1382"/>
      <c r="E3" s="1382"/>
      <c r="F3" s="1382"/>
      <c r="G3" s="1382"/>
      <c r="H3" s="1382"/>
      <c r="I3" s="1382"/>
      <c r="J3" s="1382"/>
      <c r="K3" s="1382"/>
      <c r="L3" s="1383"/>
      <c r="N3" s="1373" t="s">
        <v>250</v>
      </c>
      <c r="O3" s="1374"/>
      <c r="P3" s="1374"/>
      <c r="Q3" s="1374"/>
      <c r="R3" s="1374"/>
      <c r="S3" s="1374"/>
      <c r="T3" s="1374"/>
      <c r="U3" s="1375"/>
      <c r="W3" s="1391" t="s">
        <v>251</v>
      </c>
      <c r="X3" s="1392"/>
      <c r="Y3" s="1392"/>
      <c r="Z3" s="1392"/>
      <c r="AA3" s="1392"/>
      <c r="AB3" s="1392"/>
      <c r="AC3" s="1392"/>
      <c r="AD3" s="1393"/>
      <c r="AE3" s="679"/>
      <c r="AF3" s="679"/>
    </row>
    <row r="4" spans="1:32" ht="15" customHeight="1" thickBot="1" x14ac:dyDescent="0.35">
      <c r="B4" s="1384"/>
      <c r="C4" s="1385"/>
      <c r="D4" s="1385"/>
      <c r="E4" s="1385"/>
      <c r="F4" s="1385"/>
      <c r="G4" s="1385"/>
      <c r="H4" s="1385"/>
      <c r="I4" s="1385"/>
      <c r="J4" s="1385"/>
      <c r="K4" s="1385"/>
      <c r="L4" s="1386"/>
      <c r="N4" s="1376"/>
      <c r="O4" s="1377"/>
      <c r="P4" s="1377"/>
      <c r="Q4" s="1377"/>
      <c r="R4" s="1377"/>
      <c r="S4" s="1377"/>
      <c r="T4" s="1377"/>
      <c r="U4" s="1378"/>
      <c r="W4" s="1394"/>
      <c r="X4" s="1395"/>
      <c r="Y4" s="1395"/>
      <c r="Z4" s="1395"/>
      <c r="AA4" s="1395"/>
      <c r="AB4" s="1395"/>
      <c r="AC4" s="1395"/>
      <c r="AD4" s="1396"/>
      <c r="AE4" s="679"/>
      <c r="AF4" s="679"/>
    </row>
    <row r="5" spans="1:32" ht="14.55" customHeight="1" x14ac:dyDescent="0.3">
      <c r="B5" s="1363" t="s">
        <v>252</v>
      </c>
      <c r="C5" s="1363" t="s">
        <v>253</v>
      </c>
      <c r="D5" s="1369" t="s">
        <v>254</v>
      </c>
      <c r="E5" s="1388"/>
      <c r="F5" s="1369" t="s">
        <v>255</v>
      </c>
      <c r="G5" s="1388"/>
      <c r="H5" s="1369" t="s">
        <v>256</v>
      </c>
      <c r="I5" s="1388"/>
      <c r="J5" s="1369" t="s">
        <v>257</v>
      </c>
      <c r="K5" s="1367" t="s">
        <v>258</v>
      </c>
      <c r="L5" s="1357" t="s">
        <v>259</v>
      </c>
      <c r="N5" s="1365" t="s">
        <v>252</v>
      </c>
      <c r="O5" s="1363" t="s">
        <v>253</v>
      </c>
      <c r="P5" s="1367" t="s">
        <v>254</v>
      </c>
      <c r="Q5" s="1367" t="s">
        <v>255</v>
      </c>
      <c r="R5" s="1369" t="s">
        <v>256</v>
      </c>
      <c r="S5" s="1359" t="s">
        <v>257</v>
      </c>
      <c r="T5" s="1371" t="s">
        <v>260</v>
      </c>
      <c r="U5" s="1357" t="s">
        <v>259</v>
      </c>
      <c r="W5" s="1399" t="s">
        <v>252</v>
      </c>
      <c r="X5" s="1359" t="s">
        <v>253</v>
      </c>
      <c r="Y5" s="1359" t="s">
        <v>254</v>
      </c>
      <c r="Z5" s="1359" t="s">
        <v>255</v>
      </c>
      <c r="AA5" s="1359" t="s">
        <v>261</v>
      </c>
      <c r="AB5" s="1359" t="s">
        <v>257</v>
      </c>
      <c r="AC5" s="1359" t="s">
        <v>260</v>
      </c>
      <c r="AD5" s="1361" t="s">
        <v>259</v>
      </c>
      <c r="AF5" s="680"/>
    </row>
    <row r="6" spans="1:32" ht="15" thickBot="1" x14ac:dyDescent="0.35">
      <c r="B6" s="1387"/>
      <c r="C6" s="1387"/>
      <c r="D6" s="1389"/>
      <c r="E6" s="1390"/>
      <c r="F6" s="1389"/>
      <c r="G6" s="1390"/>
      <c r="H6" s="1389"/>
      <c r="I6" s="1390"/>
      <c r="J6" s="1370"/>
      <c r="K6" s="1368"/>
      <c r="L6" s="1358"/>
      <c r="N6" s="1366"/>
      <c r="O6" s="1364"/>
      <c r="P6" s="1368"/>
      <c r="Q6" s="1368"/>
      <c r="R6" s="1370"/>
      <c r="S6" s="1360"/>
      <c r="T6" s="1372"/>
      <c r="U6" s="1358"/>
      <c r="W6" s="1400"/>
      <c r="X6" s="1360"/>
      <c r="Y6" s="1360"/>
      <c r="Z6" s="1360"/>
      <c r="AA6" s="1360"/>
      <c r="AB6" s="1360"/>
      <c r="AC6" s="1360"/>
      <c r="AD6" s="1362"/>
      <c r="AF6" s="680"/>
    </row>
    <row r="7" spans="1:32" x14ac:dyDescent="0.3">
      <c r="A7" s="757">
        <f>'D-1 Off-Site Habitat Baseline'!AF11</f>
        <v>0</v>
      </c>
      <c r="B7" s="759" t="e" cm="1" vm="1">
        <f t="array" ref="B7">_xlfn.UNIQUE(_xlfn._xlws.FILTER(A7:A747,A7:A747&lt;&gt;0))</f>
        <v>#VALUE!</v>
      </c>
      <c r="C7" s="760">
        <f>SUMIF('D-1 Off-Site Habitat Baseline'!AF11:AF14,B7,'D-1 Off-Site Habitat Baseline'!T11:T14)</f>
        <v>0</v>
      </c>
      <c r="D7" s="1379">
        <f>SUMIF('D-1 Off-Site Habitat Baseline'!$AF$11:$AF$258,'Off-site gain site summary'!$B$7,'D-1 Off-Site Habitat Baseline'!$X$11:$X$258)</f>
        <v>0</v>
      </c>
      <c r="E7" s="1380"/>
      <c r="F7" s="1379">
        <f>SUMIF('D-3 Off-Site Habitat Enhancment'!$AU$12:$AU$258,'Off-site gain site summary'!B7,'D-3 Off-Site Habitat Enhancment'!$AQ$12:$AQ$258)</f>
        <v>0</v>
      </c>
      <c r="G7" s="1380"/>
      <c r="H7" s="1379">
        <f>SUMIF('D-2 Off-Site Habitat Creation'!$AF$11:$AF$256,'Off-site gain site summary'!B7,'D-2 Off-Site Habitat Creation'!$AB$11:$AB$256)</f>
        <v>0</v>
      </c>
      <c r="I7" s="1380"/>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
      <c r="A8" s="757">
        <f>'D-1 Off-Site Habitat Baseline'!AF12</f>
        <v>0</v>
      </c>
      <c r="B8" s="764"/>
      <c r="C8" s="762">
        <f>SUMIF('D-1 Off-Site Habitat Baseline'!AF12:AF15,B8,'D-1 Off-Site Habitat Baseline'!T12:T15)</f>
        <v>0</v>
      </c>
      <c r="D8" s="1354">
        <f>SUMIF('D-1 Off-Site Habitat Baseline'!$AF$11:$AF$258,'Off-site gain site summary'!$B$7,'D-1 Off-Site Habitat Baseline'!$X$11:$X$258)</f>
        <v>0</v>
      </c>
      <c r="E8" s="1355"/>
      <c r="F8" s="1354">
        <f>SUMIF('D-3 Off-Site Habitat Enhancment'!$AU$12:$AU$258,'Off-site gain site summary'!B8,'D-3 Off-Site Habitat Enhancment'!$AQ$12:$AQ$258)</f>
        <v>0</v>
      </c>
      <c r="G8" s="1355"/>
      <c r="H8" s="1354">
        <f>SUMIF('D-2 Off-Site Habitat Creation'!$AF$11:$AF$256,'Off-site gain site summary'!B8,'D-2 Off-Site Habitat Creation'!$AB$11:$AB$256)</f>
        <v>0</v>
      </c>
      <c r="I8" s="1355"/>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56"/>
      <c r="AF8" s="1356"/>
    </row>
    <row r="9" spans="1:32" x14ac:dyDescent="0.3">
      <c r="A9" s="757">
        <f>'D-1 Off-Site Habitat Baseline'!AF13</f>
        <v>0</v>
      </c>
      <c r="B9" s="764"/>
      <c r="C9" s="762">
        <f>SUMIF('D-1 Off-Site Habitat Baseline'!AF13:AF16,B9,'D-1 Off-Site Habitat Baseline'!T13:T16)</f>
        <v>0</v>
      </c>
      <c r="D9" s="1354">
        <f>SUMIF('D-1 Off-Site Habitat Baseline'!$AF$11:$AF$258,'Off-site gain site summary'!$B$7,'D-1 Off-Site Habitat Baseline'!$X$11:$X$258)</f>
        <v>0</v>
      </c>
      <c r="E9" s="1355"/>
      <c r="F9" s="1354">
        <f>SUMIF('D-3 Off-Site Habitat Enhancment'!$AU$12:$AU$258,'Off-site gain site summary'!B9,'D-3 Off-Site Habitat Enhancment'!$AQ$12:$AQ$258)</f>
        <v>0</v>
      </c>
      <c r="G9" s="1355"/>
      <c r="H9" s="1354">
        <f>SUMIF('D-2 Off-Site Habitat Creation'!$AF$11:$AF$256,'Off-site gain site summary'!B9,'D-2 Off-Site Habitat Creation'!$AB$11:$AB$256)</f>
        <v>0</v>
      </c>
      <c r="I9" s="1355"/>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56"/>
      <c r="AF9" s="1356"/>
    </row>
    <row r="10" spans="1:32" x14ac:dyDescent="0.3">
      <c r="A10" s="757">
        <f>'D-1 Off-Site Habitat Baseline'!AF14</f>
        <v>0</v>
      </c>
      <c r="B10" s="764"/>
      <c r="C10" s="762">
        <f>SUMIF('D-1 Off-Site Habitat Baseline'!AF14:AF17,B10,'D-1 Off-Site Habitat Baseline'!T14:T17)</f>
        <v>0</v>
      </c>
      <c r="D10" s="1354">
        <f>SUMIF('D-1 Off-Site Habitat Baseline'!$AF$11:$AF$258,'Off-site gain site summary'!$B$7,'D-1 Off-Site Habitat Baseline'!$X$11:$X$258)</f>
        <v>0</v>
      </c>
      <c r="E10" s="1355"/>
      <c r="F10" s="1354">
        <f>SUMIF('D-3 Off-Site Habitat Enhancment'!$AU$12:$AU$258,'Off-site gain site summary'!B10,'D-3 Off-Site Habitat Enhancment'!$AQ$12:$AQ$258)</f>
        <v>0</v>
      </c>
      <c r="G10" s="1355"/>
      <c r="H10" s="1354">
        <f>SUMIF('D-2 Off-Site Habitat Creation'!$AF$11:$AF$256,'Off-site gain site summary'!B10,'D-2 Off-Site Habitat Creation'!$AB$11:$AB$256)</f>
        <v>0</v>
      </c>
      <c r="I10" s="1355"/>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56"/>
      <c r="AF10" s="1356"/>
    </row>
    <row r="11" spans="1:32" x14ac:dyDescent="0.3">
      <c r="A11" s="757">
        <f>'D-1 Off-Site Habitat Baseline'!AF15</f>
        <v>0</v>
      </c>
      <c r="B11" s="764"/>
      <c r="C11" s="762">
        <f>SUMIF('D-1 Off-Site Habitat Baseline'!AF15:AF18,B11,'D-1 Off-Site Habitat Baseline'!T15:T18)</f>
        <v>0</v>
      </c>
      <c r="D11" s="1354">
        <f>SUMIF('D-1 Off-Site Habitat Baseline'!$AF$11:$AF$258,'Off-site gain site summary'!$B$7,'D-1 Off-Site Habitat Baseline'!$X$11:$X$258)</f>
        <v>0</v>
      </c>
      <c r="E11" s="1355"/>
      <c r="F11" s="1354">
        <f>SUMIF('D-3 Off-Site Habitat Enhancment'!$AU$12:$AU$258,'Off-site gain site summary'!B11,'D-3 Off-Site Habitat Enhancment'!$AQ$12:$AQ$258)</f>
        <v>0</v>
      </c>
      <c r="G11" s="1355"/>
      <c r="H11" s="1354">
        <f>SUMIF('D-2 Off-Site Habitat Creation'!$AF$11:$AF$256,'Off-site gain site summary'!B11,'D-2 Off-Site Habitat Creation'!$AB$11:$AB$256)</f>
        <v>0</v>
      </c>
      <c r="I11" s="1355"/>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56"/>
      <c r="AF11" s="1356"/>
    </row>
    <row r="12" spans="1:32" x14ac:dyDescent="0.3">
      <c r="A12" s="757">
        <f>'D-1 Off-Site Habitat Baseline'!AF16</f>
        <v>0</v>
      </c>
      <c r="B12" s="764"/>
      <c r="C12" s="762">
        <f>SUMIF('D-1 Off-Site Habitat Baseline'!AF16:AF19,B12,'D-1 Off-Site Habitat Baseline'!T16:T19)</f>
        <v>0</v>
      </c>
      <c r="D12" s="1354">
        <f>SUMIF('D-1 Off-Site Habitat Baseline'!$AF$11:$AF$258,'Off-site gain site summary'!$B$7,'D-1 Off-Site Habitat Baseline'!$X$11:$X$258)</f>
        <v>0</v>
      </c>
      <c r="E12" s="1355"/>
      <c r="F12" s="1354">
        <f>SUMIF('D-3 Off-Site Habitat Enhancment'!$AU$12:$AU$258,'Off-site gain site summary'!B12,'D-3 Off-Site Habitat Enhancment'!$AQ$12:$AQ$258)</f>
        <v>0</v>
      </c>
      <c r="G12" s="1355"/>
      <c r="H12" s="1354">
        <f>SUMIF('D-2 Off-Site Habitat Creation'!$AF$11:$AF$256,'Off-site gain site summary'!B12,'D-2 Off-Site Habitat Creation'!$AB$11:$AB$256)</f>
        <v>0</v>
      </c>
      <c r="I12" s="1355"/>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56"/>
      <c r="AF12" s="1356"/>
    </row>
    <row r="13" spans="1:32" x14ac:dyDescent="0.3">
      <c r="A13" s="757">
        <f>'D-1 Off-Site Habitat Baseline'!AF17</f>
        <v>0</v>
      </c>
      <c r="B13" s="764"/>
      <c r="C13" s="762">
        <f>SUMIF('D-1 Off-Site Habitat Baseline'!AF17:AF20,B13,'D-1 Off-Site Habitat Baseline'!T17:T20)</f>
        <v>0</v>
      </c>
      <c r="D13" s="1354">
        <f>SUMIF('D-1 Off-Site Habitat Baseline'!$AF$11:$AF$258,'Off-site gain site summary'!$B$7,'D-1 Off-Site Habitat Baseline'!$X$11:$X$258)</f>
        <v>0</v>
      </c>
      <c r="E13" s="1355"/>
      <c r="F13" s="1354">
        <f>SUMIF('D-3 Off-Site Habitat Enhancment'!$AU$12:$AU$258,'Off-site gain site summary'!B13,'D-3 Off-Site Habitat Enhancment'!$AQ$12:$AQ$258)</f>
        <v>0</v>
      </c>
      <c r="G13" s="1355"/>
      <c r="H13" s="1354">
        <f>SUMIF('D-2 Off-Site Habitat Creation'!$AF$11:$AF$256,'Off-site gain site summary'!B13,'D-2 Off-Site Habitat Creation'!$AB$11:$AB$256)</f>
        <v>0</v>
      </c>
      <c r="I13" s="1355"/>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56"/>
      <c r="AF13" s="1356"/>
    </row>
    <row r="14" spans="1:32" x14ac:dyDescent="0.3">
      <c r="A14" s="757">
        <f>'D-1 Off-Site Habitat Baseline'!AF18</f>
        <v>0</v>
      </c>
      <c r="B14" s="764"/>
      <c r="C14" s="762">
        <f>SUMIF('D-1 Off-Site Habitat Baseline'!AF18:AF21,B14,'D-1 Off-Site Habitat Baseline'!T18:T21)</f>
        <v>0</v>
      </c>
      <c r="D14" s="1354">
        <f>SUMIF('D-1 Off-Site Habitat Baseline'!$AF$11:$AF$258,'Off-site gain site summary'!$B$7,'D-1 Off-Site Habitat Baseline'!$X$11:$X$258)</f>
        <v>0</v>
      </c>
      <c r="E14" s="1355"/>
      <c r="F14" s="1354">
        <f>SUMIF('D-3 Off-Site Habitat Enhancment'!$AU$12:$AU$258,'Off-site gain site summary'!B14,'D-3 Off-Site Habitat Enhancment'!$AQ$12:$AQ$258)</f>
        <v>0</v>
      </c>
      <c r="G14" s="1355"/>
      <c r="H14" s="1354">
        <f>SUMIF('D-2 Off-Site Habitat Creation'!$AF$11:$AF$256,'Off-site gain site summary'!B14,'D-2 Off-Site Habitat Creation'!$AB$11:$AB$256)</f>
        <v>0</v>
      </c>
      <c r="I14" s="1355"/>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56"/>
      <c r="AF14" s="1356"/>
    </row>
    <row r="15" spans="1:32" x14ac:dyDescent="0.3">
      <c r="A15" s="757">
        <f>'D-1 Off-Site Habitat Baseline'!AF19</f>
        <v>0</v>
      </c>
      <c r="B15" s="764"/>
      <c r="C15" s="762">
        <f>SUMIF('D-1 Off-Site Habitat Baseline'!AF19:AF22,B15,'D-1 Off-Site Habitat Baseline'!T19:T22)</f>
        <v>0</v>
      </c>
      <c r="D15" s="1354">
        <f>SUMIF('D-1 Off-Site Habitat Baseline'!$AF$11:$AF$258,'Off-site gain site summary'!$B$7,'D-1 Off-Site Habitat Baseline'!$X$11:$X$258)</f>
        <v>0</v>
      </c>
      <c r="E15" s="1355"/>
      <c r="F15" s="1354">
        <f>SUMIF('D-3 Off-Site Habitat Enhancment'!$AU$12:$AU$258,'Off-site gain site summary'!B15,'D-3 Off-Site Habitat Enhancment'!$AQ$12:$AQ$258)</f>
        <v>0</v>
      </c>
      <c r="G15" s="1355"/>
      <c r="H15" s="1354">
        <f>SUMIF('D-2 Off-Site Habitat Creation'!$AF$11:$AF$256,'Off-site gain site summary'!B15,'D-2 Off-Site Habitat Creation'!$AB$11:$AB$256)</f>
        <v>0</v>
      </c>
      <c r="I15" s="1355"/>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56"/>
      <c r="AF15" s="1356"/>
    </row>
    <row r="16" spans="1:32" x14ac:dyDescent="0.3">
      <c r="A16" s="757">
        <f>'D-1 Off-Site Habitat Baseline'!AF20</f>
        <v>0</v>
      </c>
      <c r="B16" s="764"/>
      <c r="C16" s="762">
        <f>SUMIF('D-1 Off-Site Habitat Baseline'!AF20:AF23,B16,'D-1 Off-Site Habitat Baseline'!T20:T23)</f>
        <v>0</v>
      </c>
      <c r="D16" s="1354">
        <f>SUMIF('D-1 Off-Site Habitat Baseline'!$AF$11:$AF$258,'Off-site gain site summary'!$B$7,'D-1 Off-Site Habitat Baseline'!$X$11:$X$258)</f>
        <v>0</v>
      </c>
      <c r="E16" s="1355"/>
      <c r="F16" s="1354">
        <f>SUMIF('D-3 Off-Site Habitat Enhancment'!$AU$12:$AU$258,'Off-site gain site summary'!B16,'D-3 Off-Site Habitat Enhancment'!$AQ$12:$AQ$258)</f>
        <v>0</v>
      </c>
      <c r="G16" s="1355"/>
      <c r="H16" s="1354">
        <f>SUMIF('D-2 Off-Site Habitat Creation'!$AF$11:$AF$256,'Off-site gain site summary'!B16,'D-2 Off-Site Habitat Creation'!$AB$11:$AB$256)</f>
        <v>0</v>
      </c>
      <c r="I16" s="1355"/>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56"/>
      <c r="AF16" s="1356"/>
    </row>
    <row r="17" spans="1:32" x14ac:dyDescent="0.3">
      <c r="A17" s="757">
        <f>'D-1 Off-Site Habitat Baseline'!AF21</f>
        <v>0</v>
      </c>
      <c r="B17" s="764"/>
      <c r="C17" s="762">
        <f>SUMIF('D-1 Off-Site Habitat Baseline'!AF21:AF24,B17,'D-1 Off-Site Habitat Baseline'!T21:T24)</f>
        <v>0</v>
      </c>
      <c r="D17" s="1354">
        <f>SUMIF('D-1 Off-Site Habitat Baseline'!$AF$11:$AF$258,'Off-site gain site summary'!$B$7,'D-1 Off-Site Habitat Baseline'!$X$11:$X$258)</f>
        <v>0</v>
      </c>
      <c r="E17" s="1355"/>
      <c r="F17" s="1354">
        <f>SUMIF('D-3 Off-Site Habitat Enhancment'!$AU$12:$AU$258,'Off-site gain site summary'!B17,'D-3 Off-Site Habitat Enhancment'!$AQ$12:$AQ$258)</f>
        <v>0</v>
      </c>
      <c r="G17" s="1355"/>
      <c r="H17" s="1354">
        <f>SUMIF('D-2 Off-Site Habitat Creation'!$AF$11:$AF$256,'Off-site gain site summary'!B17,'D-2 Off-Site Habitat Creation'!$AB$11:$AB$256)</f>
        <v>0</v>
      </c>
      <c r="I17" s="1355"/>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56"/>
      <c r="AF17" s="1356"/>
    </row>
    <row r="18" spans="1:32" x14ac:dyDescent="0.3">
      <c r="A18" s="757">
        <f>'D-1 Off-Site Habitat Baseline'!AF22</f>
        <v>0</v>
      </c>
      <c r="B18" s="764"/>
      <c r="C18" s="762">
        <f>SUMIF('D-1 Off-Site Habitat Baseline'!AF22:AF25,B18,'D-1 Off-Site Habitat Baseline'!T22:T25)</f>
        <v>0</v>
      </c>
      <c r="D18" s="1354">
        <f>SUMIF('D-1 Off-Site Habitat Baseline'!$AF$11:$AF$258,'Off-site gain site summary'!$B$7,'D-1 Off-Site Habitat Baseline'!$X$11:$X$258)</f>
        <v>0</v>
      </c>
      <c r="E18" s="1355"/>
      <c r="F18" s="1354">
        <f>SUMIF('D-3 Off-Site Habitat Enhancment'!$AU$12:$AU$258,'Off-site gain site summary'!B18,'D-3 Off-Site Habitat Enhancment'!$AQ$12:$AQ$258)</f>
        <v>0</v>
      </c>
      <c r="G18" s="1355"/>
      <c r="H18" s="1354">
        <f>SUMIF('D-2 Off-Site Habitat Creation'!$AF$11:$AF$256,'Off-site gain site summary'!B18,'D-2 Off-Site Habitat Creation'!$AB$11:$AB$256)</f>
        <v>0</v>
      </c>
      <c r="I18" s="1355"/>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56"/>
      <c r="AF18" s="1356"/>
    </row>
    <row r="19" spans="1:32" x14ac:dyDescent="0.3">
      <c r="A19" s="757">
        <f>'D-1 Off-Site Habitat Baseline'!AF23</f>
        <v>0</v>
      </c>
      <c r="B19" s="764"/>
      <c r="C19" s="762">
        <f>SUMIF('D-1 Off-Site Habitat Baseline'!AF23:AF26,B19,'D-1 Off-Site Habitat Baseline'!T23:T26)</f>
        <v>0</v>
      </c>
      <c r="D19" s="1354">
        <f>SUMIF('D-1 Off-Site Habitat Baseline'!$AF$11:$AF$258,'Off-site gain site summary'!$B$7,'D-1 Off-Site Habitat Baseline'!$X$11:$X$258)</f>
        <v>0</v>
      </c>
      <c r="E19" s="1355"/>
      <c r="F19" s="1354">
        <f>SUMIF('D-3 Off-Site Habitat Enhancment'!$AU$12:$AU$258,'Off-site gain site summary'!B19,'D-3 Off-Site Habitat Enhancment'!$AQ$12:$AQ$258)</f>
        <v>0</v>
      </c>
      <c r="G19" s="1355"/>
      <c r="H19" s="1354">
        <f>SUMIF('D-2 Off-Site Habitat Creation'!$AF$11:$AF$256,'Off-site gain site summary'!B19,'D-2 Off-Site Habitat Creation'!$AB$11:$AB$256)</f>
        <v>0</v>
      </c>
      <c r="I19" s="1355"/>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56"/>
      <c r="AF19" s="1356"/>
    </row>
    <row r="20" spans="1:32" x14ac:dyDescent="0.3">
      <c r="A20" s="757">
        <f>'D-1 Off-Site Habitat Baseline'!AF24</f>
        <v>0</v>
      </c>
      <c r="B20" s="764"/>
      <c r="C20" s="762">
        <f>SUMIF('D-1 Off-Site Habitat Baseline'!AF24:AF27,B20,'D-1 Off-Site Habitat Baseline'!T24:T27)</f>
        <v>0</v>
      </c>
      <c r="D20" s="1354">
        <f>SUMIF('D-1 Off-Site Habitat Baseline'!$AF$11:$AF$258,'Off-site gain site summary'!$B$7,'D-1 Off-Site Habitat Baseline'!$X$11:$X$258)</f>
        <v>0</v>
      </c>
      <c r="E20" s="1355"/>
      <c r="F20" s="1354">
        <f>SUMIF('D-3 Off-Site Habitat Enhancment'!$AU$12:$AU$258,'Off-site gain site summary'!B20,'D-3 Off-Site Habitat Enhancment'!$AQ$12:$AQ$258)</f>
        <v>0</v>
      </c>
      <c r="G20" s="1355"/>
      <c r="H20" s="1354">
        <f>SUMIF('D-2 Off-Site Habitat Creation'!$AF$11:$AF$256,'Off-site gain site summary'!B20,'D-2 Off-Site Habitat Creation'!$AB$11:$AB$256)</f>
        <v>0</v>
      </c>
      <c r="I20" s="1355"/>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56"/>
      <c r="AF20" s="1356"/>
    </row>
    <row r="21" spans="1:32" x14ac:dyDescent="0.3">
      <c r="A21" s="757">
        <f>'D-1 Off-Site Habitat Baseline'!AF25</f>
        <v>0</v>
      </c>
      <c r="B21" s="764"/>
      <c r="C21" s="762">
        <f>SUMIF('D-1 Off-Site Habitat Baseline'!AF25:AF28,B21,'D-1 Off-Site Habitat Baseline'!T25:T28)</f>
        <v>0</v>
      </c>
      <c r="D21" s="1354">
        <f>SUMIF('D-1 Off-Site Habitat Baseline'!$AF$11:$AF$258,'Off-site gain site summary'!$B$7,'D-1 Off-Site Habitat Baseline'!$X$11:$X$258)</f>
        <v>0</v>
      </c>
      <c r="E21" s="1355"/>
      <c r="F21" s="1354">
        <f>SUMIF('D-3 Off-Site Habitat Enhancment'!$AU$12:$AU$258,'Off-site gain site summary'!B21,'D-3 Off-Site Habitat Enhancment'!$AQ$12:$AQ$258)</f>
        <v>0</v>
      </c>
      <c r="G21" s="1355"/>
      <c r="H21" s="1354">
        <f>SUMIF('D-2 Off-Site Habitat Creation'!$AF$11:$AF$256,'Off-site gain site summary'!B21,'D-2 Off-Site Habitat Creation'!$AB$11:$AB$256)</f>
        <v>0</v>
      </c>
      <c r="I21" s="1355"/>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56"/>
      <c r="AF21" s="1356"/>
    </row>
    <row r="22" spans="1:32" x14ac:dyDescent="0.3">
      <c r="A22" s="757">
        <f>'D-1 Off-Site Habitat Baseline'!AF26</f>
        <v>0</v>
      </c>
      <c r="B22" s="764"/>
      <c r="C22" s="762">
        <f>SUMIF('D-1 Off-Site Habitat Baseline'!AF26:AF29,B22,'D-1 Off-Site Habitat Baseline'!T26:T29)</f>
        <v>0</v>
      </c>
      <c r="D22" s="1354">
        <f>SUMIF('D-1 Off-Site Habitat Baseline'!$AF$11:$AF$258,'Off-site gain site summary'!$B$7,'D-1 Off-Site Habitat Baseline'!$X$11:$X$258)</f>
        <v>0</v>
      </c>
      <c r="E22" s="1355"/>
      <c r="F22" s="1354">
        <f>SUMIF('D-3 Off-Site Habitat Enhancment'!$AU$12:$AU$258,'Off-site gain site summary'!B22,'D-3 Off-Site Habitat Enhancment'!$AQ$12:$AQ$258)</f>
        <v>0</v>
      </c>
      <c r="G22" s="1355"/>
      <c r="H22" s="1354">
        <f>SUMIF('D-2 Off-Site Habitat Creation'!$AF$11:$AF$256,'Off-site gain site summary'!B22,'D-2 Off-Site Habitat Creation'!$AB$11:$AB$256)</f>
        <v>0</v>
      </c>
      <c r="I22" s="1355"/>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56"/>
      <c r="AF22" s="1356"/>
    </row>
    <row r="23" spans="1:32" x14ac:dyDescent="0.3">
      <c r="A23" s="757">
        <f>'D-1 Off-Site Habitat Baseline'!AF27</f>
        <v>0</v>
      </c>
      <c r="B23" s="764"/>
      <c r="C23" s="762">
        <f>SUMIF('D-1 Off-Site Habitat Baseline'!AF27:AF30,B23,'D-1 Off-Site Habitat Baseline'!T27:T30)</f>
        <v>0</v>
      </c>
      <c r="D23" s="1354">
        <f>SUMIF('D-1 Off-Site Habitat Baseline'!$AF$11:$AF$258,'Off-site gain site summary'!$B$7,'D-1 Off-Site Habitat Baseline'!$X$11:$X$258)</f>
        <v>0</v>
      </c>
      <c r="E23" s="1355"/>
      <c r="F23" s="1354">
        <f>SUMIF('D-3 Off-Site Habitat Enhancment'!$AU$12:$AU$258,'Off-site gain site summary'!B23,'D-3 Off-Site Habitat Enhancment'!$AQ$12:$AQ$258)</f>
        <v>0</v>
      </c>
      <c r="G23" s="1355"/>
      <c r="H23" s="1354">
        <f>SUMIF('D-2 Off-Site Habitat Creation'!$AF$11:$AF$256,'Off-site gain site summary'!B23,'D-2 Off-Site Habitat Creation'!$AB$11:$AB$256)</f>
        <v>0</v>
      </c>
      <c r="I23" s="1355"/>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56"/>
      <c r="AF23" s="1356"/>
    </row>
    <row r="24" spans="1:32" x14ac:dyDescent="0.3">
      <c r="A24" s="757">
        <f>'D-1 Off-Site Habitat Baseline'!AF28</f>
        <v>0</v>
      </c>
      <c r="B24" s="764"/>
      <c r="C24" s="762">
        <f>SUMIF('D-1 Off-Site Habitat Baseline'!AF28:AF31,B24,'D-1 Off-Site Habitat Baseline'!T28:T31)</f>
        <v>0</v>
      </c>
      <c r="D24" s="1354">
        <f>SUMIF('D-1 Off-Site Habitat Baseline'!$AF$11:$AF$258,'Off-site gain site summary'!$B$7,'D-1 Off-Site Habitat Baseline'!$X$11:$X$258)</f>
        <v>0</v>
      </c>
      <c r="E24" s="1355"/>
      <c r="F24" s="1354">
        <f>SUMIF('D-3 Off-Site Habitat Enhancment'!$AU$12:$AU$258,'Off-site gain site summary'!B24,'D-3 Off-Site Habitat Enhancment'!$AQ$12:$AQ$258)</f>
        <v>0</v>
      </c>
      <c r="G24" s="1355"/>
      <c r="H24" s="1354">
        <f>SUMIF('D-2 Off-Site Habitat Creation'!$AF$11:$AF$256,'Off-site gain site summary'!B24,'D-2 Off-Site Habitat Creation'!$AB$11:$AB$256)</f>
        <v>0</v>
      </c>
      <c r="I24" s="1355"/>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56"/>
      <c r="AF24" s="1356"/>
    </row>
    <row r="25" spans="1:32" x14ac:dyDescent="0.3">
      <c r="A25" s="757">
        <f>'D-1 Off-Site Habitat Baseline'!AF29</f>
        <v>0</v>
      </c>
      <c r="B25" s="764"/>
      <c r="C25" s="762">
        <f>SUMIF('D-1 Off-Site Habitat Baseline'!AF29:AF32,B25,'D-1 Off-Site Habitat Baseline'!T29:T32)</f>
        <v>0</v>
      </c>
      <c r="D25" s="1354">
        <f>SUMIF('D-1 Off-Site Habitat Baseline'!$AF$11:$AF$258,'Off-site gain site summary'!$B$7,'D-1 Off-Site Habitat Baseline'!$X$11:$X$258)</f>
        <v>0</v>
      </c>
      <c r="E25" s="1355"/>
      <c r="F25" s="1354">
        <f>SUMIF('D-3 Off-Site Habitat Enhancment'!$AU$12:$AU$258,'Off-site gain site summary'!B25,'D-3 Off-Site Habitat Enhancment'!$AQ$12:$AQ$258)</f>
        <v>0</v>
      </c>
      <c r="G25" s="1355"/>
      <c r="H25" s="1354">
        <f>SUMIF('D-2 Off-Site Habitat Creation'!$AF$11:$AF$256,'Off-site gain site summary'!B25,'D-2 Off-Site Habitat Creation'!$AB$11:$AB$256)</f>
        <v>0</v>
      </c>
      <c r="I25" s="1355"/>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56"/>
      <c r="AF25" s="1356"/>
    </row>
    <row r="26" spans="1:32" x14ac:dyDescent="0.3">
      <c r="A26" s="757">
        <f>'D-1 Off-Site Habitat Baseline'!AF30</f>
        <v>0</v>
      </c>
      <c r="B26" s="764"/>
      <c r="C26" s="762">
        <f>SUMIF('D-1 Off-Site Habitat Baseline'!AF30:AF33,B26,'D-1 Off-Site Habitat Baseline'!T30:T33)</f>
        <v>0</v>
      </c>
      <c r="D26" s="1354">
        <f>SUMIF('D-1 Off-Site Habitat Baseline'!$AF$11:$AF$258,'Off-site gain site summary'!$B$7,'D-1 Off-Site Habitat Baseline'!$X$11:$X$258)</f>
        <v>0</v>
      </c>
      <c r="E26" s="1355"/>
      <c r="F26" s="1354">
        <f>SUMIF('D-3 Off-Site Habitat Enhancment'!$AU$12:$AU$258,'Off-site gain site summary'!B26,'D-3 Off-Site Habitat Enhancment'!$AQ$12:$AQ$258)</f>
        <v>0</v>
      </c>
      <c r="G26" s="1355"/>
      <c r="H26" s="1354">
        <f>SUMIF('D-2 Off-Site Habitat Creation'!$AF$11:$AF$256,'Off-site gain site summary'!B26,'D-2 Off-Site Habitat Creation'!$AB$11:$AB$256)</f>
        <v>0</v>
      </c>
      <c r="I26" s="1355"/>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56"/>
      <c r="AF26" s="1356"/>
    </row>
    <row r="27" spans="1:32" x14ac:dyDescent="0.3">
      <c r="A27" s="757">
        <f>'D-1 Off-Site Habitat Baseline'!AF31</f>
        <v>0</v>
      </c>
      <c r="B27" s="764"/>
      <c r="C27" s="762">
        <f>SUMIF('D-1 Off-Site Habitat Baseline'!AF31:AF34,B27,'D-1 Off-Site Habitat Baseline'!T31:T34)</f>
        <v>0</v>
      </c>
      <c r="D27" s="1354">
        <f>SUMIF('D-1 Off-Site Habitat Baseline'!$AF$11:$AF$258,'Off-site gain site summary'!$B$7,'D-1 Off-Site Habitat Baseline'!$X$11:$X$258)</f>
        <v>0</v>
      </c>
      <c r="E27" s="1355"/>
      <c r="F27" s="1354">
        <f>SUMIF('D-3 Off-Site Habitat Enhancment'!$AU$12:$AU$258,'Off-site gain site summary'!B27,'D-3 Off-Site Habitat Enhancment'!$AQ$12:$AQ$258)</f>
        <v>0</v>
      </c>
      <c r="G27" s="1355"/>
      <c r="H27" s="1354">
        <f>SUMIF('D-2 Off-Site Habitat Creation'!$AF$11:$AF$256,'Off-site gain site summary'!B27,'D-2 Off-Site Habitat Creation'!$AB$11:$AB$256)</f>
        <v>0</v>
      </c>
      <c r="I27" s="1355"/>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56"/>
      <c r="AF27" s="1356"/>
    </row>
    <row r="28" spans="1:32" x14ac:dyDescent="0.3">
      <c r="A28" s="757">
        <f>'D-1 Off-Site Habitat Baseline'!AF32</f>
        <v>0</v>
      </c>
      <c r="B28" s="764"/>
      <c r="C28" s="762">
        <f>SUMIF('D-1 Off-Site Habitat Baseline'!AF32:AF35,B28,'D-1 Off-Site Habitat Baseline'!T32:T35)</f>
        <v>0</v>
      </c>
      <c r="D28" s="1354">
        <f>SUMIF('D-1 Off-Site Habitat Baseline'!$AF$11:$AF$258,'Off-site gain site summary'!$B$7,'D-1 Off-Site Habitat Baseline'!$X$11:$X$258)</f>
        <v>0</v>
      </c>
      <c r="E28" s="1355"/>
      <c r="F28" s="1354">
        <f>SUMIF('D-3 Off-Site Habitat Enhancment'!$AU$12:$AU$258,'Off-site gain site summary'!B28,'D-3 Off-Site Habitat Enhancment'!$AQ$12:$AQ$258)</f>
        <v>0</v>
      </c>
      <c r="G28" s="1355"/>
      <c r="H28" s="1354">
        <f>SUMIF('D-2 Off-Site Habitat Creation'!$AF$11:$AF$256,'Off-site gain site summary'!B28,'D-2 Off-Site Habitat Creation'!$AB$11:$AB$256)</f>
        <v>0</v>
      </c>
      <c r="I28" s="1355"/>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56"/>
      <c r="AF28" s="1356"/>
    </row>
    <row r="29" spans="1:32" x14ac:dyDescent="0.3">
      <c r="A29" s="757">
        <f>'D-1 Off-Site Habitat Baseline'!AF33</f>
        <v>0</v>
      </c>
      <c r="B29" s="764"/>
      <c r="C29" s="762">
        <f>SUMIF('D-1 Off-Site Habitat Baseline'!AF33:AF36,B29,'D-1 Off-Site Habitat Baseline'!T33:T36)</f>
        <v>0</v>
      </c>
      <c r="D29" s="1354">
        <f>SUMIF('D-1 Off-Site Habitat Baseline'!$AF$11:$AF$258,'Off-site gain site summary'!$B$7,'D-1 Off-Site Habitat Baseline'!$X$11:$X$258)</f>
        <v>0</v>
      </c>
      <c r="E29" s="1355"/>
      <c r="F29" s="1354">
        <f>SUMIF('D-3 Off-Site Habitat Enhancment'!$AU$12:$AU$258,'Off-site gain site summary'!B29,'D-3 Off-Site Habitat Enhancment'!$AQ$12:$AQ$258)</f>
        <v>0</v>
      </c>
      <c r="G29" s="1355"/>
      <c r="H29" s="1354">
        <f>SUMIF('D-2 Off-Site Habitat Creation'!$AF$11:$AF$256,'Off-site gain site summary'!B29,'D-2 Off-Site Habitat Creation'!$AB$11:$AB$256)</f>
        <v>0</v>
      </c>
      <c r="I29" s="1355"/>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56"/>
      <c r="AF29" s="1356"/>
    </row>
    <row r="30" spans="1:32" x14ac:dyDescent="0.3">
      <c r="A30" s="757">
        <f>'D-1 Off-Site Habitat Baseline'!AF34</f>
        <v>0</v>
      </c>
      <c r="B30" s="764"/>
      <c r="C30" s="762">
        <f>SUMIF('D-1 Off-Site Habitat Baseline'!AF34:AF37,B30,'D-1 Off-Site Habitat Baseline'!T34:T37)</f>
        <v>0</v>
      </c>
      <c r="D30" s="1354">
        <f>SUMIF('D-1 Off-Site Habitat Baseline'!$AF$11:$AF$258,'Off-site gain site summary'!$B$7,'D-1 Off-Site Habitat Baseline'!$X$11:$X$258)</f>
        <v>0</v>
      </c>
      <c r="E30" s="1355"/>
      <c r="F30" s="1354">
        <f>SUMIF('D-3 Off-Site Habitat Enhancment'!$AU$12:$AU$258,'Off-site gain site summary'!B30,'D-3 Off-Site Habitat Enhancment'!$AQ$12:$AQ$258)</f>
        <v>0</v>
      </c>
      <c r="G30" s="1355"/>
      <c r="H30" s="1354">
        <f>SUMIF('D-2 Off-Site Habitat Creation'!$AF$11:$AF$256,'Off-site gain site summary'!B30,'D-2 Off-Site Habitat Creation'!$AB$11:$AB$256)</f>
        <v>0</v>
      </c>
      <c r="I30" s="1355"/>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56"/>
      <c r="AF30" s="1356"/>
    </row>
    <row r="31" spans="1:32" x14ac:dyDescent="0.3">
      <c r="A31" s="757">
        <f>'D-1 Off-Site Habitat Baseline'!AF35</f>
        <v>0</v>
      </c>
      <c r="B31" s="764"/>
      <c r="C31" s="762">
        <f>SUMIF('D-1 Off-Site Habitat Baseline'!AF35:AF38,B31,'D-1 Off-Site Habitat Baseline'!T35:T38)</f>
        <v>0</v>
      </c>
      <c r="D31" s="1354">
        <f>SUMIF('D-1 Off-Site Habitat Baseline'!$AF$11:$AF$258,'Off-site gain site summary'!$B$7,'D-1 Off-Site Habitat Baseline'!$X$11:$X$258)</f>
        <v>0</v>
      </c>
      <c r="E31" s="1355"/>
      <c r="F31" s="1354">
        <f>SUMIF('D-3 Off-Site Habitat Enhancment'!$AU$12:$AU$258,'Off-site gain site summary'!B31,'D-3 Off-Site Habitat Enhancment'!$AQ$12:$AQ$258)</f>
        <v>0</v>
      </c>
      <c r="G31" s="1355"/>
      <c r="H31" s="1354">
        <f>SUMIF('D-2 Off-Site Habitat Creation'!$AF$11:$AF$256,'Off-site gain site summary'!B31,'D-2 Off-Site Habitat Creation'!$AB$11:$AB$256)</f>
        <v>0</v>
      </c>
      <c r="I31" s="1355"/>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56"/>
      <c r="AF31" s="1356"/>
    </row>
    <row r="32" spans="1:32" x14ac:dyDescent="0.3">
      <c r="A32" s="757">
        <f>'D-1 Off-Site Habitat Baseline'!AF36</f>
        <v>0</v>
      </c>
      <c r="B32" s="764"/>
      <c r="C32" s="762">
        <f>SUMIF('D-1 Off-Site Habitat Baseline'!AF36:AF39,B32,'D-1 Off-Site Habitat Baseline'!T36:T39)</f>
        <v>0</v>
      </c>
      <c r="D32" s="1354">
        <f>SUMIF('D-1 Off-Site Habitat Baseline'!$AF$11:$AF$258,'Off-site gain site summary'!$B$7,'D-1 Off-Site Habitat Baseline'!$X$11:$X$258)</f>
        <v>0</v>
      </c>
      <c r="E32" s="1355"/>
      <c r="F32" s="1354">
        <f>SUMIF('D-3 Off-Site Habitat Enhancment'!$AU$12:$AU$258,'Off-site gain site summary'!B32,'D-3 Off-Site Habitat Enhancment'!$AQ$12:$AQ$258)</f>
        <v>0</v>
      </c>
      <c r="G32" s="1355"/>
      <c r="H32" s="1354">
        <f>SUMIF('D-2 Off-Site Habitat Creation'!$AF$11:$AF$256,'Off-site gain site summary'!B32,'D-2 Off-Site Habitat Creation'!$AB$11:$AB$256)</f>
        <v>0</v>
      </c>
      <c r="I32" s="1355"/>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56"/>
      <c r="AF32" s="1356"/>
    </row>
    <row r="33" spans="1:32" x14ac:dyDescent="0.3">
      <c r="A33" s="757">
        <f>'D-1 Off-Site Habitat Baseline'!AF37</f>
        <v>0</v>
      </c>
      <c r="B33" s="764"/>
      <c r="C33" s="762">
        <f>SUMIF('D-1 Off-Site Habitat Baseline'!AF37:AF40,B33,'D-1 Off-Site Habitat Baseline'!T37:T40)</f>
        <v>0</v>
      </c>
      <c r="D33" s="1354">
        <f>SUMIF('D-1 Off-Site Habitat Baseline'!$AF$11:$AF$258,'Off-site gain site summary'!$B$7,'D-1 Off-Site Habitat Baseline'!$X$11:$X$258)</f>
        <v>0</v>
      </c>
      <c r="E33" s="1355"/>
      <c r="F33" s="1354">
        <f>SUMIF('D-3 Off-Site Habitat Enhancment'!$AU$12:$AU$258,'Off-site gain site summary'!B33,'D-3 Off-Site Habitat Enhancment'!$AQ$12:$AQ$258)</f>
        <v>0</v>
      </c>
      <c r="G33" s="1355"/>
      <c r="H33" s="1354">
        <f>SUMIF('D-2 Off-Site Habitat Creation'!$AF$11:$AF$256,'Off-site gain site summary'!B33,'D-2 Off-Site Habitat Creation'!$AB$11:$AB$256)</f>
        <v>0</v>
      </c>
      <c r="I33" s="1355"/>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56"/>
      <c r="AF33" s="1356"/>
    </row>
    <row r="34" spans="1:32" x14ac:dyDescent="0.3">
      <c r="A34" s="757">
        <f>'D-1 Off-Site Habitat Baseline'!AF38</f>
        <v>0</v>
      </c>
      <c r="B34" s="764"/>
      <c r="C34" s="762">
        <f>SUMIF('D-1 Off-Site Habitat Baseline'!AF38:AF41,B34,'D-1 Off-Site Habitat Baseline'!T38:T41)</f>
        <v>0</v>
      </c>
      <c r="D34" s="1354">
        <f>SUMIF('D-1 Off-Site Habitat Baseline'!$AF$11:$AF$258,'Off-site gain site summary'!$B$7,'D-1 Off-Site Habitat Baseline'!$X$11:$X$258)</f>
        <v>0</v>
      </c>
      <c r="E34" s="1355"/>
      <c r="F34" s="1354">
        <f>SUMIF('D-3 Off-Site Habitat Enhancment'!$AU$12:$AU$258,'Off-site gain site summary'!B34,'D-3 Off-Site Habitat Enhancment'!$AQ$12:$AQ$258)</f>
        <v>0</v>
      </c>
      <c r="G34" s="1355"/>
      <c r="H34" s="1354">
        <f>SUMIF('D-2 Off-Site Habitat Creation'!$AF$11:$AF$256,'Off-site gain site summary'!B34,'D-2 Off-Site Habitat Creation'!$AB$11:$AB$256)</f>
        <v>0</v>
      </c>
      <c r="I34" s="1355"/>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56"/>
      <c r="AF34" s="1356"/>
    </row>
    <row r="35" spans="1:32" x14ac:dyDescent="0.3">
      <c r="A35" s="757">
        <f>'D-1 Off-Site Habitat Baseline'!AF39</f>
        <v>0</v>
      </c>
      <c r="B35" s="764"/>
      <c r="C35" s="762">
        <f>SUMIF('D-1 Off-Site Habitat Baseline'!AF39:AF42,B35,'D-1 Off-Site Habitat Baseline'!T39:T42)</f>
        <v>0</v>
      </c>
      <c r="D35" s="1354">
        <f>SUMIF('D-1 Off-Site Habitat Baseline'!$AF$11:$AF$258,'Off-site gain site summary'!$B$7,'D-1 Off-Site Habitat Baseline'!$X$11:$X$258)</f>
        <v>0</v>
      </c>
      <c r="E35" s="1355"/>
      <c r="F35" s="1354">
        <f>SUMIF('D-3 Off-Site Habitat Enhancment'!$AU$12:$AU$258,'Off-site gain site summary'!B35,'D-3 Off-Site Habitat Enhancment'!$AQ$12:$AQ$258)</f>
        <v>0</v>
      </c>
      <c r="G35" s="1355"/>
      <c r="H35" s="1354">
        <f>SUMIF('D-2 Off-Site Habitat Creation'!$AF$11:$AF$256,'Off-site gain site summary'!B35,'D-2 Off-Site Habitat Creation'!$AB$11:$AB$256)</f>
        <v>0</v>
      </c>
      <c r="I35" s="1355"/>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56"/>
      <c r="AF35" s="1356"/>
    </row>
    <row r="36" spans="1:32" x14ac:dyDescent="0.3">
      <c r="A36" s="757">
        <f>'D-1 Off-Site Habitat Baseline'!AF40</f>
        <v>0</v>
      </c>
      <c r="B36" s="764"/>
      <c r="C36" s="762">
        <f>SUMIF('D-1 Off-Site Habitat Baseline'!AF40:AF43,B36,'D-1 Off-Site Habitat Baseline'!T40:T43)</f>
        <v>0</v>
      </c>
      <c r="D36" s="1354">
        <f>SUMIF('D-1 Off-Site Habitat Baseline'!$AF$11:$AF$258,'Off-site gain site summary'!$B$7,'D-1 Off-Site Habitat Baseline'!$X$11:$X$258)</f>
        <v>0</v>
      </c>
      <c r="E36" s="1355"/>
      <c r="F36" s="1354">
        <f>SUMIF('D-3 Off-Site Habitat Enhancment'!$AU$12:$AU$258,'Off-site gain site summary'!B36,'D-3 Off-Site Habitat Enhancment'!$AQ$12:$AQ$258)</f>
        <v>0</v>
      </c>
      <c r="G36" s="1355"/>
      <c r="H36" s="1354">
        <f>SUMIF('D-2 Off-Site Habitat Creation'!$AF$11:$AF$256,'Off-site gain site summary'!B36,'D-2 Off-Site Habitat Creation'!$AB$11:$AB$256)</f>
        <v>0</v>
      </c>
      <c r="I36" s="1355"/>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56"/>
      <c r="AF36" s="1356"/>
    </row>
    <row r="37" spans="1:32" x14ac:dyDescent="0.3">
      <c r="A37" s="757">
        <f>'D-1 Off-Site Habitat Baseline'!AF41</f>
        <v>0</v>
      </c>
      <c r="B37" s="764"/>
      <c r="C37" s="762">
        <f>SUMIF('D-1 Off-Site Habitat Baseline'!AF41:AF44,B37,'D-1 Off-Site Habitat Baseline'!T41:T44)</f>
        <v>0</v>
      </c>
      <c r="D37" s="1354">
        <f>SUMIF('D-1 Off-Site Habitat Baseline'!$AF$11:$AF$258,'Off-site gain site summary'!$B$7,'D-1 Off-Site Habitat Baseline'!$X$11:$X$258)</f>
        <v>0</v>
      </c>
      <c r="E37" s="1355"/>
      <c r="F37" s="1354">
        <f>SUMIF('D-3 Off-Site Habitat Enhancment'!$AU$12:$AU$258,'Off-site gain site summary'!B37,'D-3 Off-Site Habitat Enhancment'!$AQ$12:$AQ$258)</f>
        <v>0</v>
      </c>
      <c r="G37" s="1355"/>
      <c r="H37" s="1354">
        <f>SUMIF('D-2 Off-Site Habitat Creation'!$AF$11:$AF$256,'Off-site gain site summary'!B37,'D-2 Off-Site Habitat Creation'!$AB$11:$AB$256)</f>
        <v>0</v>
      </c>
      <c r="I37" s="1355"/>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56"/>
      <c r="AF37" s="1356"/>
    </row>
    <row r="38" spans="1:32" x14ac:dyDescent="0.3">
      <c r="A38" s="757">
        <f>'D-1 Off-Site Habitat Baseline'!AF42</f>
        <v>0</v>
      </c>
      <c r="B38" s="764"/>
      <c r="C38" s="762">
        <f>SUMIF('D-1 Off-Site Habitat Baseline'!AF42:AF45,B38,'D-1 Off-Site Habitat Baseline'!T42:T45)</f>
        <v>0</v>
      </c>
      <c r="D38" s="1354">
        <f>SUMIF('D-1 Off-Site Habitat Baseline'!$AF$11:$AF$258,'Off-site gain site summary'!$B$7,'D-1 Off-Site Habitat Baseline'!$X$11:$X$258)</f>
        <v>0</v>
      </c>
      <c r="E38" s="1355"/>
      <c r="F38" s="1354">
        <f>SUMIF('D-3 Off-Site Habitat Enhancment'!$AU$12:$AU$258,'Off-site gain site summary'!B38,'D-3 Off-Site Habitat Enhancment'!$AQ$12:$AQ$258)</f>
        <v>0</v>
      </c>
      <c r="G38" s="1355"/>
      <c r="H38" s="1354">
        <f>SUMIF('D-2 Off-Site Habitat Creation'!$AF$11:$AF$256,'Off-site gain site summary'!B38,'D-2 Off-Site Habitat Creation'!$AB$11:$AB$256)</f>
        <v>0</v>
      </c>
      <c r="I38" s="1355"/>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56"/>
      <c r="AF38" s="1356"/>
    </row>
    <row r="39" spans="1:32" x14ac:dyDescent="0.3">
      <c r="A39" s="757">
        <f>'D-1 Off-Site Habitat Baseline'!AF43</f>
        <v>0</v>
      </c>
      <c r="B39" s="764"/>
      <c r="C39" s="762">
        <f>SUMIF('D-1 Off-Site Habitat Baseline'!AF43:AF46,B39,'D-1 Off-Site Habitat Baseline'!T43:T46)</f>
        <v>0</v>
      </c>
      <c r="D39" s="1354">
        <f>SUMIF('D-1 Off-Site Habitat Baseline'!$AF$11:$AF$258,'Off-site gain site summary'!$B$7,'D-1 Off-Site Habitat Baseline'!$X$11:$X$258)</f>
        <v>0</v>
      </c>
      <c r="E39" s="1355"/>
      <c r="F39" s="1354">
        <f>SUMIF('D-3 Off-Site Habitat Enhancment'!$AU$12:$AU$258,'Off-site gain site summary'!B39,'D-3 Off-Site Habitat Enhancment'!$AQ$12:$AQ$258)</f>
        <v>0</v>
      </c>
      <c r="G39" s="1355"/>
      <c r="H39" s="1354">
        <f>SUMIF('D-2 Off-Site Habitat Creation'!$AF$11:$AF$256,'Off-site gain site summary'!B39,'D-2 Off-Site Habitat Creation'!$AB$11:$AB$256)</f>
        <v>0</v>
      </c>
      <c r="I39" s="1355"/>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56"/>
      <c r="AF39" s="1356"/>
    </row>
    <row r="40" spans="1:32" x14ac:dyDescent="0.3">
      <c r="A40" s="757">
        <f>'D-1 Off-Site Habitat Baseline'!AF44</f>
        <v>0</v>
      </c>
      <c r="B40" s="764"/>
      <c r="C40" s="762">
        <f>SUMIF('D-1 Off-Site Habitat Baseline'!AF44:AF47,B40,'D-1 Off-Site Habitat Baseline'!T44:T47)</f>
        <v>0</v>
      </c>
      <c r="D40" s="1354">
        <f>SUMIF('D-1 Off-Site Habitat Baseline'!$AF$11:$AF$258,'Off-site gain site summary'!$B$7,'D-1 Off-Site Habitat Baseline'!$X$11:$X$258)</f>
        <v>0</v>
      </c>
      <c r="E40" s="1355"/>
      <c r="F40" s="1354">
        <f>SUMIF('D-3 Off-Site Habitat Enhancment'!$AU$12:$AU$258,'Off-site gain site summary'!B40,'D-3 Off-Site Habitat Enhancment'!$AQ$12:$AQ$258)</f>
        <v>0</v>
      </c>
      <c r="G40" s="1355"/>
      <c r="H40" s="1354">
        <f>SUMIF('D-2 Off-Site Habitat Creation'!$AF$11:$AF$256,'Off-site gain site summary'!B40,'D-2 Off-Site Habitat Creation'!$AB$11:$AB$256)</f>
        <v>0</v>
      </c>
      <c r="I40" s="1355"/>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56"/>
      <c r="AF40" s="1356"/>
    </row>
    <row r="41" spans="1:32" x14ac:dyDescent="0.3">
      <c r="A41" s="757">
        <f>'D-1 Off-Site Habitat Baseline'!AF45</f>
        <v>0</v>
      </c>
      <c r="B41" s="764"/>
      <c r="C41" s="762">
        <f>SUMIF('D-1 Off-Site Habitat Baseline'!AF45:AF48,B41,'D-1 Off-Site Habitat Baseline'!T45:T48)</f>
        <v>0</v>
      </c>
      <c r="D41" s="1354">
        <f>SUMIF('D-1 Off-Site Habitat Baseline'!$AF$11:$AF$258,'Off-site gain site summary'!$B$7,'D-1 Off-Site Habitat Baseline'!$X$11:$X$258)</f>
        <v>0</v>
      </c>
      <c r="E41" s="1355"/>
      <c r="F41" s="1354">
        <f>SUMIF('D-3 Off-Site Habitat Enhancment'!$AU$12:$AU$258,'Off-site gain site summary'!B41,'D-3 Off-Site Habitat Enhancment'!$AQ$12:$AQ$258)</f>
        <v>0</v>
      </c>
      <c r="G41" s="1355"/>
      <c r="H41" s="1354">
        <f>SUMIF('D-2 Off-Site Habitat Creation'!$AF$11:$AF$256,'Off-site gain site summary'!B41,'D-2 Off-Site Habitat Creation'!$AB$11:$AB$256)</f>
        <v>0</v>
      </c>
      <c r="I41" s="1355"/>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56"/>
      <c r="AF41" s="1356"/>
    </row>
    <row r="42" spans="1:32" x14ac:dyDescent="0.3">
      <c r="A42" s="757">
        <f>'D-1 Off-Site Habitat Baseline'!AF46</f>
        <v>0</v>
      </c>
      <c r="B42" s="764"/>
      <c r="C42" s="762">
        <f>SUMIF('D-1 Off-Site Habitat Baseline'!AF46:AF49,B42,'D-1 Off-Site Habitat Baseline'!T46:T49)</f>
        <v>0</v>
      </c>
      <c r="D42" s="1354">
        <f>SUMIF('D-1 Off-Site Habitat Baseline'!$AF$11:$AF$258,'Off-site gain site summary'!$B$7,'D-1 Off-Site Habitat Baseline'!$X$11:$X$258)</f>
        <v>0</v>
      </c>
      <c r="E42" s="1355"/>
      <c r="F42" s="1354">
        <f>SUMIF('D-3 Off-Site Habitat Enhancment'!$AU$12:$AU$258,'Off-site gain site summary'!B42,'D-3 Off-Site Habitat Enhancment'!$AQ$12:$AQ$258)</f>
        <v>0</v>
      </c>
      <c r="G42" s="1355"/>
      <c r="H42" s="1354">
        <f>SUMIF('D-2 Off-Site Habitat Creation'!$AF$11:$AF$256,'Off-site gain site summary'!B42,'D-2 Off-Site Habitat Creation'!$AB$11:$AB$256)</f>
        <v>0</v>
      </c>
      <c r="I42" s="1355"/>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56"/>
      <c r="AF42" s="1356"/>
    </row>
    <row r="43" spans="1:32" x14ac:dyDescent="0.3">
      <c r="A43" s="757">
        <f>'D-1 Off-Site Habitat Baseline'!AF47</f>
        <v>0</v>
      </c>
      <c r="B43" s="764"/>
      <c r="C43" s="762">
        <f>SUMIF('D-1 Off-Site Habitat Baseline'!AF47:AF50,B43,'D-1 Off-Site Habitat Baseline'!T47:T50)</f>
        <v>0</v>
      </c>
      <c r="D43" s="1354">
        <f>SUMIF('D-1 Off-Site Habitat Baseline'!$AF$11:$AF$258,'Off-site gain site summary'!$B$7,'D-1 Off-Site Habitat Baseline'!$X$11:$X$258)</f>
        <v>0</v>
      </c>
      <c r="E43" s="1355"/>
      <c r="F43" s="1354">
        <f>SUMIF('D-3 Off-Site Habitat Enhancment'!$AU$12:$AU$258,'Off-site gain site summary'!B43,'D-3 Off-Site Habitat Enhancment'!$AQ$12:$AQ$258)</f>
        <v>0</v>
      </c>
      <c r="G43" s="1355"/>
      <c r="H43" s="1354">
        <f>SUMIF('D-2 Off-Site Habitat Creation'!$AF$11:$AF$256,'Off-site gain site summary'!B43,'D-2 Off-Site Habitat Creation'!$AB$11:$AB$256)</f>
        <v>0</v>
      </c>
      <c r="I43" s="1355"/>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56"/>
      <c r="AF43" s="1356"/>
    </row>
    <row r="44" spans="1:32" x14ac:dyDescent="0.3">
      <c r="A44" s="757">
        <f>'D-1 Off-Site Habitat Baseline'!AF48</f>
        <v>0</v>
      </c>
      <c r="B44" s="764"/>
      <c r="C44" s="762">
        <f>SUMIF('D-1 Off-Site Habitat Baseline'!AF48:AF51,B44,'D-1 Off-Site Habitat Baseline'!T48:T51)</f>
        <v>0</v>
      </c>
      <c r="D44" s="1354">
        <f>SUMIF('D-1 Off-Site Habitat Baseline'!$AF$11:$AF$258,'Off-site gain site summary'!$B$7,'D-1 Off-Site Habitat Baseline'!$X$11:$X$258)</f>
        <v>0</v>
      </c>
      <c r="E44" s="1355"/>
      <c r="F44" s="1354">
        <f>SUMIF('D-3 Off-Site Habitat Enhancment'!$AU$12:$AU$258,'Off-site gain site summary'!B44,'D-3 Off-Site Habitat Enhancment'!$AQ$12:$AQ$258)</f>
        <v>0</v>
      </c>
      <c r="G44" s="1355"/>
      <c r="H44" s="1354">
        <f>SUMIF('D-2 Off-Site Habitat Creation'!$AF$11:$AF$256,'Off-site gain site summary'!B44,'D-2 Off-Site Habitat Creation'!$AB$11:$AB$256)</f>
        <v>0</v>
      </c>
      <c r="I44" s="1355"/>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56"/>
      <c r="AF44" s="1356"/>
    </row>
    <row r="45" spans="1:32" x14ac:dyDescent="0.3">
      <c r="A45" s="757">
        <f>'D-1 Off-Site Habitat Baseline'!AF49</f>
        <v>0</v>
      </c>
      <c r="B45" s="764"/>
      <c r="C45" s="762">
        <f>SUMIF('D-1 Off-Site Habitat Baseline'!AF49:AF52,B45,'D-1 Off-Site Habitat Baseline'!T49:T52)</f>
        <v>0</v>
      </c>
      <c r="D45" s="1354">
        <f>SUMIF('D-1 Off-Site Habitat Baseline'!$AF$11:$AF$258,'Off-site gain site summary'!$B$7,'D-1 Off-Site Habitat Baseline'!$X$11:$X$258)</f>
        <v>0</v>
      </c>
      <c r="E45" s="1355"/>
      <c r="F45" s="1354">
        <f>SUMIF('D-3 Off-Site Habitat Enhancment'!$AU$12:$AU$258,'Off-site gain site summary'!B45,'D-3 Off-Site Habitat Enhancment'!$AQ$12:$AQ$258)</f>
        <v>0</v>
      </c>
      <c r="G45" s="1355"/>
      <c r="H45" s="1354">
        <f>SUMIF('D-2 Off-Site Habitat Creation'!$AF$11:$AF$256,'Off-site gain site summary'!B45,'D-2 Off-Site Habitat Creation'!$AB$11:$AB$256)</f>
        <v>0</v>
      </c>
      <c r="I45" s="1355"/>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56"/>
      <c r="AF45" s="1356"/>
    </row>
    <row r="46" spans="1:32" x14ac:dyDescent="0.3">
      <c r="A46" s="757">
        <f>'D-1 Off-Site Habitat Baseline'!AF50</f>
        <v>0</v>
      </c>
      <c r="B46" s="764"/>
      <c r="C46" s="762">
        <f>SUMIF('D-1 Off-Site Habitat Baseline'!AF50:AF53,B46,'D-1 Off-Site Habitat Baseline'!T50:T53)</f>
        <v>0</v>
      </c>
      <c r="D46" s="1354">
        <f>SUMIF('D-1 Off-Site Habitat Baseline'!$AF$11:$AF$258,'Off-site gain site summary'!$B$7,'D-1 Off-Site Habitat Baseline'!$X$11:$X$258)</f>
        <v>0</v>
      </c>
      <c r="E46" s="1355"/>
      <c r="F46" s="1354">
        <f>SUMIF('D-3 Off-Site Habitat Enhancment'!$AU$12:$AU$258,'Off-site gain site summary'!B46,'D-3 Off-Site Habitat Enhancment'!$AQ$12:$AQ$258)</f>
        <v>0</v>
      </c>
      <c r="G46" s="1355"/>
      <c r="H46" s="1354">
        <f>SUMIF('D-2 Off-Site Habitat Creation'!$AF$11:$AF$256,'Off-site gain site summary'!B46,'D-2 Off-Site Habitat Creation'!$AB$11:$AB$256)</f>
        <v>0</v>
      </c>
      <c r="I46" s="1355"/>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56"/>
      <c r="AF46" s="1356"/>
    </row>
    <row r="47" spans="1:32" x14ac:dyDescent="0.3">
      <c r="A47" s="757">
        <f>'D-1 Off-Site Habitat Baseline'!AF51</f>
        <v>0</v>
      </c>
      <c r="B47" s="764"/>
      <c r="C47" s="762">
        <f>SUMIF('D-1 Off-Site Habitat Baseline'!AF51:AF54,B47,'D-1 Off-Site Habitat Baseline'!T51:T54)</f>
        <v>0</v>
      </c>
      <c r="D47" s="1354">
        <f>SUMIF('D-1 Off-Site Habitat Baseline'!$AF$11:$AF$258,'Off-site gain site summary'!$B$7,'D-1 Off-Site Habitat Baseline'!$X$11:$X$258)</f>
        <v>0</v>
      </c>
      <c r="E47" s="1355"/>
      <c r="F47" s="1354">
        <f>SUMIF('D-3 Off-Site Habitat Enhancment'!$AU$12:$AU$258,'Off-site gain site summary'!B47,'D-3 Off-Site Habitat Enhancment'!$AQ$12:$AQ$258)</f>
        <v>0</v>
      </c>
      <c r="G47" s="1355"/>
      <c r="H47" s="1354">
        <f>SUMIF('D-2 Off-Site Habitat Creation'!$AF$11:$AF$256,'Off-site gain site summary'!B47,'D-2 Off-Site Habitat Creation'!$AB$11:$AB$256)</f>
        <v>0</v>
      </c>
      <c r="I47" s="1355"/>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56"/>
      <c r="AF47" s="1356"/>
    </row>
    <row r="48" spans="1:32" x14ac:dyDescent="0.3">
      <c r="A48" s="757">
        <f>'D-1 Off-Site Habitat Baseline'!AF52</f>
        <v>0</v>
      </c>
      <c r="B48" s="764"/>
      <c r="C48" s="762">
        <f>SUMIF('D-1 Off-Site Habitat Baseline'!AF52:AF55,B48,'D-1 Off-Site Habitat Baseline'!T52:T55)</f>
        <v>0</v>
      </c>
      <c r="D48" s="1354">
        <f>SUMIF('D-1 Off-Site Habitat Baseline'!$AF$11:$AF$258,'Off-site gain site summary'!$B$7,'D-1 Off-Site Habitat Baseline'!$X$11:$X$258)</f>
        <v>0</v>
      </c>
      <c r="E48" s="1355"/>
      <c r="F48" s="1354">
        <f>SUMIF('D-3 Off-Site Habitat Enhancment'!$AU$12:$AU$258,'Off-site gain site summary'!B48,'D-3 Off-Site Habitat Enhancment'!$AQ$12:$AQ$258)</f>
        <v>0</v>
      </c>
      <c r="G48" s="1355"/>
      <c r="H48" s="1354">
        <f>SUMIF('D-2 Off-Site Habitat Creation'!$AF$11:$AF$256,'Off-site gain site summary'!B48,'D-2 Off-Site Habitat Creation'!$AB$11:$AB$256)</f>
        <v>0</v>
      </c>
      <c r="I48" s="1355"/>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56"/>
      <c r="AF48" s="1356"/>
    </row>
    <row r="49" spans="1:32" x14ac:dyDescent="0.3">
      <c r="A49" s="757">
        <f>'D-1 Off-Site Habitat Baseline'!AF53</f>
        <v>0</v>
      </c>
      <c r="B49" s="764"/>
      <c r="C49" s="762">
        <f>SUMIF('D-1 Off-Site Habitat Baseline'!AF53:AF56,B49,'D-1 Off-Site Habitat Baseline'!T53:T56)</f>
        <v>0</v>
      </c>
      <c r="D49" s="1354">
        <f>SUMIF('D-1 Off-Site Habitat Baseline'!$AF$11:$AF$258,'Off-site gain site summary'!$B$7,'D-1 Off-Site Habitat Baseline'!$X$11:$X$258)</f>
        <v>0</v>
      </c>
      <c r="E49" s="1355"/>
      <c r="F49" s="1354">
        <f>SUMIF('D-3 Off-Site Habitat Enhancment'!$AU$12:$AU$258,'Off-site gain site summary'!B49,'D-3 Off-Site Habitat Enhancment'!$AQ$12:$AQ$258)</f>
        <v>0</v>
      </c>
      <c r="G49" s="1355"/>
      <c r="H49" s="1354">
        <f>SUMIF('D-2 Off-Site Habitat Creation'!$AF$11:$AF$256,'Off-site gain site summary'!B49,'D-2 Off-Site Habitat Creation'!$AB$11:$AB$256)</f>
        <v>0</v>
      </c>
      <c r="I49" s="1355"/>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56"/>
      <c r="AF49" s="1356"/>
    </row>
    <row r="50" spans="1:32" x14ac:dyDescent="0.3">
      <c r="A50" s="757">
        <f>'D-1 Off-Site Habitat Baseline'!AF54</f>
        <v>0</v>
      </c>
      <c r="B50" s="764"/>
      <c r="C50" s="762">
        <f>SUMIF('D-1 Off-Site Habitat Baseline'!AF54:AF57,B50,'D-1 Off-Site Habitat Baseline'!T54:T57)</f>
        <v>0</v>
      </c>
      <c r="D50" s="1354">
        <f>SUMIF('D-1 Off-Site Habitat Baseline'!$AF$11:$AF$258,'Off-site gain site summary'!$B$7,'D-1 Off-Site Habitat Baseline'!$X$11:$X$258)</f>
        <v>0</v>
      </c>
      <c r="E50" s="1355"/>
      <c r="F50" s="1354">
        <f>SUMIF('D-3 Off-Site Habitat Enhancment'!$AU$12:$AU$258,'Off-site gain site summary'!B50,'D-3 Off-Site Habitat Enhancment'!$AQ$12:$AQ$258)</f>
        <v>0</v>
      </c>
      <c r="G50" s="1355"/>
      <c r="H50" s="1354">
        <f>SUMIF('D-2 Off-Site Habitat Creation'!$AF$11:$AF$256,'Off-site gain site summary'!B50,'D-2 Off-Site Habitat Creation'!$AB$11:$AB$256)</f>
        <v>0</v>
      </c>
      <c r="I50" s="1355"/>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56"/>
      <c r="AF50" s="1356"/>
    </row>
    <row r="51" spans="1:32" x14ac:dyDescent="0.3">
      <c r="A51" s="757">
        <f>'D-1 Off-Site Habitat Baseline'!AF55</f>
        <v>0</v>
      </c>
      <c r="B51" s="764"/>
      <c r="C51" s="762">
        <f>SUMIF('D-1 Off-Site Habitat Baseline'!AF55:AF58,B51,'D-1 Off-Site Habitat Baseline'!T55:T58)</f>
        <v>0</v>
      </c>
      <c r="D51" s="1354">
        <f>SUMIF('D-1 Off-Site Habitat Baseline'!$AF$11:$AF$258,'Off-site gain site summary'!$B$7,'D-1 Off-Site Habitat Baseline'!$X$11:$X$258)</f>
        <v>0</v>
      </c>
      <c r="E51" s="1355"/>
      <c r="F51" s="1354">
        <f>SUMIF('D-3 Off-Site Habitat Enhancment'!$AU$12:$AU$258,'Off-site gain site summary'!B51,'D-3 Off-Site Habitat Enhancment'!$AQ$12:$AQ$258)</f>
        <v>0</v>
      </c>
      <c r="G51" s="1355"/>
      <c r="H51" s="1354">
        <f>SUMIF('D-2 Off-Site Habitat Creation'!$AF$11:$AF$256,'Off-site gain site summary'!B51,'D-2 Off-Site Habitat Creation'!$AB$11:$AB$256)</f>
        <v>0</v>
      </c>
      <c r="I51" s="1355"/>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56"/>
      <c r="AF51" s="1356"/>
    </row>
    <row r="52" spans="1:32" x14ac:dyDescent="0.3">
      <c r="A52" s="757">
        <f>'D-1 Off-Site Habitat Baseline'!AF56</f>
        <v>0</v>
      </c>
      <c r="B52" s="764"/>
      <c r="C52" s="762">
        <f>SUMIF('D-1 Off-Site Habitat Baseline'!AF56:AF59,B52,'D-1 Off-Site Habitat Baseline'!T56:T59)</f>
        <v>0</v>
      </c>
      <c r="D52" s="1354">
        <f>SUMIF('D-1 Off-Site Habitat Baseline'!$AF$11:$AF$258,'Off-site gain site summary'!$B$7,'D-1 Off-Site Habitat Baseline'!$X$11:$X$258)</f>
        <v>0</v>
      </c>
      <c r="E52" s="1355"/>
      <c r="F52" s="1354">
        <f>SUMIF('D-3 Off-Site Habitat Enhancment'!$AU$12:$AU$258,'Off-site gain site summary'!B52,'D-3 Off-Site Habitat Enhancment'!$AQ$12:$AQ$258)</f>
        <v>0</v>
      </c>
      <c r="G52" s="1355"/>
      <c r="H52" s="1354">
        <f>SUMIF('D-2 Off-Site Habitat Creation'!$AF$11:$AF$256,'Off-site gain site summary'!B52,'D-2 Off-Site Habitat Creation'!$AB$11:$AB$256)</f>
        <v>0</v>
      </c>
      <c r="I52" s="1355"/>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56"/>
      <c r="AF52" s="1356"/>
    </row>
    <row r="53" spans="1:32" x14ac:dyDescent="0.3">
      <c r="A53" s="757">
        <f>'D-1 Off-Site Habitat Baseline'!AF57</f>
        <v>0</v>
      </c>
      <c r="B53" s="764"/>
      <c r="C53" s="762">
        <f>SUMIF('D-1 Off-Site Habitat Baseline'!AF57:AF60,B53,'D-1 Off-Site Habitat Baseline'!T57:T60)</f>
        <v>0</v>
      </c>
      <c r="D53" s="1354">
        <f>SUMIF('D-1 Off-Site Habitat Baseline'!$AF$11:$AF$258,'Off-site gain site summary'!$B$7,'D-1 Off-Site Habitat Baseline'!$X$11:$X$258)</f>
        <v>0</v>
      </c>
      <c r="E53" s="1355"/>
      <c r="F53" s="1354">
        <f>SUMIF('D-3 Off-Site Habitat Enhancment'!$AU$12:$AU$258,'Off-site gain site summary'!B53,'D-3 Off-Site Habitat Enhancment'!$AQ$12:$AQ$258)</f>
        <v>0</v>
      </c>
      <c r="G53" s="1355"/>
      <c r="H53" s="1354">
        <f>SUMIF('D-2 Off-Site Habitat Creation'!$AF$11:$AF$256,'Off-site gain site summary'!B53,'D-2 Off-Site Habitat Creation'!$AB$11:$AB$256)</f>
        <v>0</v>
      </c>
      <c r="I53" s="1355"/>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56"/>
      <c r="AF53" s="1356"/>
    </row>
    <row r="54" spans="1:32" x14ac:dyDescent="0.3">
      <c r="A54" s="757">
        <f>'D-1 Off-Site Habitat Baseline'!AF58</f>
        <v>0</v>
      </c>
      <c r="B54" s="764"/>
      <c r="C54" s="762">
        <f>SUMIF('D-1 Off-Site Habitat Baseline'!AF58:AF61,B54,'D-1 Off-Site Habitat Baseline'!T58:T61)</f>
        <v>0</v>
      </c>
      <c r="D54" s="1354">
        <f>SUMIF('D-1 Off-Site Habitat Baseline'!$AF$11:$AF$258,'Off-site gain site summary'!$B$7,'D-1 Off-Site Habitat Baseline'!$X$11:$X$258)</f>
        <v>0</v>
      </c>
      <c r="E54" s="1355"/>
      <c r="F54" s="1354">
        <f>SUMIF('D-3 Off-Site Habitat Enhancment'!$AU$12:$AU$258,'Off-site gain site summary'!B54,'D-3 Off-Site Habitat Enhancment'!$AQ$12:$AQ$258)</f>
        <v>0</v>
      </c>
      <c r="G54" s="1355"/>
      <c r="H54" s="1354">
        <f>SUMIF('D-2 Off-Site Habitat Creation'!$AF$11:$AF$256,'Off-site gain site summary'!B54,'D-2 Off-Site Habitat Creation'!$AB$11:$AB$256)</f>
        <v>0</v>
      </c>
      <c r="I54" s="1355"/>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56"/>
      <c r="AF54" s="1356"/>
    </row>
    <row r="55" spans="1:32" x14ac:dyDescent="0.3">
      <c r="A55" s="757">
        <f>'D-1 Off-Site Habitat Baseline'!AF59</f>
        <v>0</v>
      </c>
      <c r="B55" s="764"/>
      <c r="C55" s="762">
        <f>SUMIF('D-1 Off-Site Habitat Baseline'!AF59:AF62,B55,'D-1 Off-Site Habitat Baseline'!T59:T62)</f>
        <v>0</v>
      </c>
      <c r="D55" s="1354">
        <f>SUMIF('D-1 Off-Site Habitat Baseline'!$AF$11:$AF$258,'Off-site gain site summary'!$B$7,'D-1 Off-Site Habitat Baseline'!$X$11:$X$258)</f>
        <v>0</v>
      </c>
      <c r="E55" s="1355"/>
      <c r="F55" s="1354">
        <f>SUMIF('D-3 Off-Site Habitat Enhancment'!$AU$12:$AU$258,'Off-site gain site summary'!B55,'D-3 Off-Site Habitat Enhancment'!$AQ$12:$AQ$258)</f>
        <v>0</v>
      </c>
      <c r="G55" s="1355"/>
      <c r="H55" s="1354">
        <f>SUMIF('D-2 Off-Site Habitat Creation'!$AF$11:$AF$256,'Off-site gain site summary'!B55,'D-2 Off-Site Habitat Creation'!$AB$11:$AB$256)</f>
        <v>0</v>
      </c>
      <c r="I55" s="1355"/>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56"/>
      <c r="AF55" s="1356"/>
    </row>
    <row r="56" spans="1:32" x14ac:dyDescent="0.3">
      <c r="A56" s="757">
        <f>'D-1 Off-Site Habitat Baseline'!AF60</f>
        <v>0</v>
      </c>
      <c r="B56" s="764"/>
      <c r="C56" s="762">
        <f>SUMIF('D-1 Off-Site Habitat Baseline'!AF60:AF63,B56,'D-1 Off-Site Habitat Baseline'!T60:T63)</f>
        <v>0</v>
      </c>
      <c r="D56" s="1354">
        <f>SUMIF('D-1 Off-Site Habitat Baseline'!$AF$11:$AF$258,'Off-site gain site summary'!$B$7,'D-1 Off-Site Habitat Baseline'!$X$11:$X$258)</f>
        <v>0</v>
      </c>
      <c r="E56" s="1355"/>
      <c r="F56" s="1354">
        <f>SUMIF('D-3 Off-Site Habitat Enhancment'!$AU$12:$AU$258,'Off-site gain site summary'!B56,'D-3 Off-Site Habitat Enhancment'!$AQ$12:$AQ$258)</f>
        <v>0</v>
      </c>
      <c r="G56" s="1355"/>
      <c r="H56" s="1354">
        <f>SUMIF('D-2 Off-Site Habitat Creation'!$AF$11:$AF$256,'Off-site gain site summary'!B56,'D-2 Off-Site Habitat Creation'!$AB$11:$AB$256)</f>
        <v>0</v>
      </c>
      <c r="I56" s="1355"/>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56"/>
      <c r="AF56" s="1356"/>
    </row>
    <row r="57" spans="1:32" x14ac:dyDescent="0.3">
      <c r="A57" s="757">
        <f>'D-1 Off-Site Habitat Baseline'!AF61</f>
        <v>0</v>
      </c>
      <c r="B57" s="764"/>
      <c r="C57" s="762">
        <f>SUMIF('D-1 Off-Site Habitat Baseline'!AF61:AF64,B57,'D-1 Off-Site Habitat Baseline'!T61:T64)</f>
        <v>0</v>
      </c>
      <c r="D57" s="1354">
        <f>SUMIF('D-1 Off-Site Habitat Baseline'!$AF$11:$AF$258,'Off-site gain site summary'!$B$7,'D-1 Off-Site Habitat Baseline'!$X$11:$X$258)</f>
        <v>0</v>
      </c>
      <c r="E57" s="1355"/>
      <c r="F57" s="1354">
        <f>SUMIF('D-3 Off-Site Habitat Enhancment'!$AU$12:$AU$258,'Off-site gain site summary'!B57,'D-3 Off-Site Habitat Enhancment'!$AQ$12:$AQ$258)</f>
        <v>0</v>
      </c>
      <c r="G57" s="1355"/>
      <c r="H57" s="1354">
        <f>SUMIF('D-2 Off-Site Habitat Creation'!$AF$11:$AF$256,'Off-site gain site summary'!B57,'D-2 Off-Site Habitat Creation'!$AB$11:$AB$256)</f>
        <v>0</v>
      </c>
      <c r="I57" s="1355"/>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56"/>
      <c r="AF57" s="1356"/>
    </row>
    <row r="58" spans="1:32" x14ac:dyDescent="0.3">
      <c r="A58" s="757">
        <f>'D-1 Off-Site Habitat Baseline'!AF62</f>
        <v>0</v>
      </c>
      <c r="B58" s="764"/>
      <c r="C58" s="762">
        <f>SUMIF('D-1 Off-Site Habitat Baseline'!AF62:AF65,B58,'D-1 Off-Site Habitat Baseline'!T62:T65)</f>
        <v>0</v>
      </c>
      <c r="D58" s="1354">
        <f>SUMIF('D-1 Off-Site Habitat Baseline'!$AF$11:$AF$258,'Off-site gain site summary'!$B$7,'D-1 Off-Site Habitat Baseline'!$X$11:$X$258)</f>
        <v>0</v>
      </c>
      <c r="E58" s="1355"/>
      <c r="F58" s="1354">
        <f>SUMIF('D-3 Off-Site Habitat Enhancment'!$AU$12:$AU$258,'Off-site gain site summary'!B58,'D-3 Off-Site Habitat Enhancment'!$AQ$12:$AQ$258)</f>
        <v>0</v>
      </c>
      <c r="G58" s="1355"/>
      <c r="H58" s="1354">
        <f>SUMIF('D-2 Off-Site Habitat Creation'!$AF$11:$AF$256,'Off-site gain site summary'!B58,'D-2 Off-Site Habitat Creation'!$AB$11:$AB$256)</f>
        <v>0</v>
      </c>
      <c r="I58" s="1355"/>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56"/>
      <c r="AF58" s="1356"/>
    </row>
    <row r="59" spans="1:32" x14ac:dyDescent="0.3">
      <c r="A59" s="757">
        <f>'D-1 Off-Site Habitat Baseline'!AF63</f>
        <v>0</v>
      </c>
      <c r="B59" s="764"/>
      <c r="C59" s="762">
        <f>SUMIF('D-1 Off-Site Habitat Baseline'!AF63:AF66,B59,'D-1 Off-Site Habitat Baseline'!T63:T66)</f>
        <v>0</v>
      </c>
      <c r="D59" s="1354">
        <f>SUMIF('D-1 Off-Site Habitat Baseline'!$AF$11:$AF$258,'Off-site gain site summary'!$B$7,'D-1 Off-Site Habitat Baseline'!$X$11:$X$258)</f>
        <v>0</v>
      </c>
      <c r="E59" s="1355"/>
      <c r="F59" s="1354">
        <f>SUMIF('D-3 Off-Site Habitat Enhancment'!$AU$12:$AU$258,'Off-site gain site summary'!B59,'D-3 Off-Site Habitat Enhancment'!$AQ$12:$AQ$258)</f>
        <v>0</v>
      </c>
      <c r="G59" s="1355"/>
      <c r="H59" s="1354">
        <f>SUMIF('D-2 Off-Site Habitat Creation'!$AF$11:$AF$256,'Off-site gain site summary'!B59,'D-2 Off-Site Habitat Creation'!$AB$11:$AB$256)</f>
        <v>0</v>
      </c>
      <c r="I59" s="1355"/>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56"/>
      <c r="AF59" s="1356"/>
    </row>
    <row r="60" spans="1:32" x14ac:dyDescent="0.3">
      <c r="A60" s="757">
        <f>'D-1 Off-Site Habitat Baseline'!AF64</f>
        <v>0</v>
      </c>
      <c r="B60" s="764"/>
      <c r="C60" s="762">
        <f>SUMIF('D-1 Off-Site Habitat Baseline'!AF64:AF67,B60,'D-1 Off-Site Habitat Baseline'!T64:T67)</f>
        <v>0</v>
      </c>
      <c r="D60" s="1354">
        <f>SUMIF('D-1 Off-Site Habitat Baseline'!$AF$11:$AF$258,'Off-site gain site summary'!$B$7,'D-1 Off-Site Habitat Baseline'!$X$11:$X$258)</f>
        <v>0</v>
      </c>
      <c r="E60" s="1355"/>
      <c r="F60" s="1354">
        <f>SUMIF('D-3 Off-Site Habitat Enhancment'!$AU$12:$AU$258,'Off-site gain site summary'!B60,'D-3 Off-Site Habitat Enhancment'!$AQ$12:$AQ$258)</f>
        <v>0</v>
      </c>
      <c r="G60" s="1355"/>
      <c r="H60" s="1354">
        <f>SUMIF('D-2 Off-Site Habitat Creation'!$AF$11:$AF$256,'Off-site gain site summary'!B60,'D-2 Off-Site Habitat Creation'!$AB$11:$AB$256)</f>
        <v>0</v>
      </c>
      <c r="I60" s="1355"/>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56"/>
      <c r="AF60" s="1356"/>
    </row>
    <row r="61" spans="1:32" x14ac:dyDescent="0.3">
      <c r="A61" s="757">
        <f>'D-1 Off-Site Habitat Baseline'!AF65</f>
        <v>0</v>
      </c>
      <c r="B61" s="764"/>
      <c r="C61" s="762">
        <f>SUMIF('D-1 Off-Site Habitat Baseline'!AF65:AF68,B61,'D-1 Off-Site Habitat Baseline'!T65:T68)</f>
        <v>0</v>
      </c>
      <c r="D61" s="1354">
        <f>SUMIF('D-1 Off-Site Habitat Baseline'!$AF$11:$AF$258,'Off-site gain site summary'!$B$7,'D-1 Off-Site Habitat Baseline'!$X$11:$X$258)</f>
        <v>0</v>
      </c>
      <c r="E61" s="1355"/>
      <c r="F61" s="1354">
        <f>SUMIF('D-3 Off-Site Habitat Enhancment'!$AU$12:$AU$258,'Off-site gain site summary'!B61,'D-3 Off-Site Habitat Enhancment'!$AQ$12:$AQ$258)</f>
        <v>0</v>
      </c>
      <c r="G61" s="1355"/>
      <c r="H61" s="1354">
        <f>SUMIF('D-2 Off-Site Habitat Creation'!$AF$11:$AF$256,'Off-site gain site summary'!B61,'D-2 Off-Site Habitat Creation'!$AB$11:$AB$256)</f>
        <v>0</v>
      </c>
      <c r="I61" s="1355"/>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56"/>
      <c r="AF61" s="1356"/>
    </row>
    <row r="62" spans="1:32" x14ac:dyDescent="0.3">
      <c r="A62" s="757">
        <f>'D-1 Off-Site Habitat Baseline'!AF66</f>
        <v>0</v>
      </c>
      <c r="B62" s="764"/>
      <c r="C62" s="762">
        <f>SUMIF('D-1 Off-Site Habitat Baseline'!AF66:AF69,B62,'D-1 Off-Site Habitat Baseline'!T66:T69)</f>
        <v>0</v>
      </c>
      <c r="D62" s="1354">
        <f>SUMIF('D-1 Off-Site Habitat Baseline'!$AF$11:$AF$258,'Off-site gain site summary'!$B$7,'D-1 Off-Site Habitat Baseline'!$X$11:$X$258)</f>
        <v>0</v>
      </c>
      <c r="E62" s="1355"/>
      <c r="F62" s="1354">
        <f>SUMIF('D-3 Off-Site Habitat Enhancment'!$AU$12:$AU$258,'Off-site gain site summary'!B62,'D-3 Off-Site Habitat Enhancment'!$AQ$12:$AQ$258)</f>
        <v>0</v>
      </c>
      <c r="G62" s="1355"/>
      <c r="H62" s="1354">
        <f>SUMIF('D-2 Off-Site Habitat Creation'!$AF$11:$AF$256,'Off-site gain site summary'!B62,'D-2 Off-Site Habitat Creation'!$AB$11:$AB$256)</f>
        <v>0</v>
      </c>
      <c r="I62" s="1355"/>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56"/>
      <c r="AF62" s="1356"/>
    </row>
    <row r="63" spans="1:32" x14ac:dyDescent="0.3">
      <c r="A63" s="757">
        <f>'D-1 Off-Site Habitat Baseline'!AF67</f>
        <v>0</v>
      </c>
      <c r="B63" s="764"/>
      <c r="C63" s="762">
        <f>SUMIF('D-1 Off-Site Habitat Baseline'!AF67:AF70,B63,'D-1 Off-Site Habitat Baseline'!T67:T70)</f>
        <v>0</v>
      </c>
      <c r="D63" s="1354">
        <f>SUMIF('D-1 Off-Site Habitat Baseline'!$AF$11:$AF$258,'Off-site gain site summary'!$B$7,'D-1 Off-Site Habitat Baseline'!$X$11:$X$258)</f>
        <v>0</v>
      </c>
      <c r="E63" s="1355"/>
      <c r="F63" s="1354">
        <f>SUMIF('D-3 Off-Site Habitat Enhancment'!$AU$12:$AU$258,'Off-site gain site summary'!B63,'D-3 Off-Site Habitat Enhancment'!$AQ$12:$AQ$258)</f>
        <v>0</v>
      </c>
      <c r="G63" s="1355"/>
      <c r="H63" s="1354">
        <f>SUMIF('D-2 Off-Site Habitat Creation'!$AF$11:$AF$256,'Off-site gain site summary'!B63,'D-2 Off-Site Habitat Creation'!$AB$11:$AB$256)</f>
        <v>0</v>
      </c>
      <c r="I63" s="1355"/>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56"/>
      <c r="AF63" s="1356"/>
    </row>
    <row r="64" spans="1:32" x14ac:dyDescent="0.3">
      <c r="A64" s="757">
        <f>'D-1 Off-Site Habitat Baseline'!AF68</f>
        <v>0</v>
      </c>
      <c r="B64" s="764"/>
      <c r="C64" s="762">
        <f>SUMIF('D-1 Off-Site Habitat Baseline'!AF68:AF71,B64,'D-1 Off-Site Habitat Baseline'!T68:T71)</f>
        <v>0</v>
      </c>
      <c r="D64" s="1354">
        <f>SUMIF('D-1 Off-Site Habitat Baseline'!$AF$11:$AF$258,'Off-site gain site summary'!$B$7,'D-1 Off-Site Habitat Baseline'!$X$11:$X$258)</f>
        <v>0</v>
      </c>
      <c r="E64" s="1355"/>
      <c r="F64" s="1354">
        <f>SUMIF('D-3 Off-Site Habitat Enhancment'!$AU$12:$AU$258,'Off-site gain site summary'!B64,'D-3 Off-Site Habitat Enhancment'!$AQ$12:$AQ$258)</f>
        <v>0</v>
      </c>
      <c r="G64" s="1355"/>
      <c r="H64" s="1354">
        <f>SUMIF('D-2 Off-Site Habitat Creation'!$AF$11:$AF$256,'Off-site gain site summary'!B64,'D-2 Off-Site Habitat Creation'!$AB$11:$AB$256)</f>
        <v>0</v>
      </c>
      <c r="I64" s="1355"/>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56"/>
      <c r="AF64" s="1356"/>
    </row>
    <row r="65" spans="1:32" x14ac:dyDescent="0.3">
      <c r="A65" s="757">
        <f>'D-1 Off-Site Habitat Baseline'!AF69</f>
        <v>0</v>
      </c>
      <c r="B65" s="764"/>
      <c r="C65" s="762">
        <f>SUMIF('D-1 Off-Site Habitat Baseline'!AF69:AF72,B65,'D-1 Off-Site Habitat Baseline'!T69:T72)</f>
        <v>0</v>
      </c>
      <c r="D65" s="1354">
        <f>SUMIF('D-1 Off-Site Habitat Baseline'!$AF$11:$AF$258,'Off-site gain site summary'!$B$7,'D-1 Off-Site Habitat Baseline'!$X$11:$X$258)</f>
        <v>0</v>
      </c>
      <c r="E65" s="1355"/>
      <c r="F65" s="1354">
        <f>SUMIF('D-3 Off-Site Habitat Enhancment'!$AU$12:$AU$258,'Off-site gain site summary'!B65,'D-3 Off-Site Habitat Enhancment'!$AQ$12:$AQ$258)</f>
        <v>0</v>
      </c>
      <c r="G65" s="1355"/>
      <c r="H65" s="1354">
        <f>SUMIF('D-2 Off-Site Habitat Creation'!$AF$11:$AF$256,'Off-site gain site summary'!B65,'D-2 Off-Site Habitat Creation'!$AB$11:$AB$256)</f>
        <v>0</v>
      </c>
      <c r="I65" s="1355"/>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56"/>
      <c r="AF65" s="1356"/>
    </row>
    <row r="66" spans="1:32" x14ac:dyDescent="0.3">
      <c r="A66" s="757">
        <f>'D-1 Off-Site Habitat Baseline'!AF70</f>
        <v>0</v>
      </c>
      <c r="B66" s="764"/>
      <c r="C66" s="762">
        <f>SUMIF('D-1 Off-Site Habitat Baseline'!AF70:AF73,B66,'D-1 Off-Site Habitat Baseline'!T70:T73)</f>
        <v>0</v>
      </c>
      <c r="D66" s="1354">
        <f>SUMIF('D-1 Off-Site Habitat Baseline'!$AF$11:$AF$258,'Off-site gain site summary'!$B$7,'D-1 Off-Site Habitat Baseline'!$X$11:$X$258)</f>
        <v>0</v>
      </c>
      <c r="E66" s="1355"/>
      <c r="F66" s="1354">
        <f>SUMIF('D-3 Off-Site Habitat Enhancment'!$AU$12:$AU$258,'Off-site gain site summary'!B66,'D-3 Off-Site Habitat Enhancment'!$AQ$12:$AQ$258)</f>
        <v>0</v>
      </c>
      <c r="G66" s="1355"/>
      <c r="H66" s="1354">
        <f>SUMIF('D-2 Off-Site Habitat Creation'!$AF$11:$AF$256,'Off-site gain site summary'!B66,'D-2 Off-Site Habitat Creation'!$AB$11:$AB$256)</f>
        <v>0</v>
      </c>
      <c r="I66" s="1355"/>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56"/>
      <c r="AF66" s="1356"/>
    </row>
    <row r="67" spans="1:32" x14ac:dyDescent="0.3">
      <c r="A67" s="757">
        <f>'D-1 Off-Site Habitat Baseline'!AF71</f>
        <v>0</v>
      </c>
      <c r="B67" s="764"/>
      <c r="C67" s="762">
        <f>SUMIF('D-1 Off-Site Habitat Baseline'!AF71:AF74,B67,'D-1 Off-Site Habitat Baseline'!T71:T74)</f>
        <v>0</v>
      </c>
      <c r="D67" s="1354">
        <f>SUMIF('D-1 Off-Site Habitat Baseline'!$AF$11:$AF$258,'Off-site gain site summary'!$B$7,'D-1 Off-Site Habitat Baseline'!$X$11:$X$258)</f>
        <v>0</v>
      </c>
      <c r="E67" s="1355"/>
      <c r="F67" s="1354">
        <f>SUMIF('D-3 Off-Site Habitat Enhancment'!$AU$12:$AU$258,'Off-site gain site summary'!B67,'D-3 Off-Site Habitat Enhancment'!$AQ$12:$AQ$258)</f>
        <v>0</v>
      </c>
      <c r="G67" s="1355"/>
      <c r="H67" s="1354">
        <f>SUMIF('D-2 Off-Site Habitat Creation'!$AF$11:$AF$256,'Off-site gain site summary'!B67,'D-2 Off-Site Habitat Creation'!$AB$11:$AB$256)</f>
        <v>0</v>
      </c>
      <c r="I67" s="1355"/>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56"/>
      <c r="AF67" s="1356"/>
    </row>
    <row r="68" spans="1:32" x14ac:dyDescent="0.3">
      <c r="A68" s="757">
        <f>'D-1 Off-Site Habitat Baseline'!AF72</f>
        <v>0</v>
      </c>
      <c r="B68" s="764"/>
      <c r="C68" s="762">
        <f>SUMIF('D-1 Off-Site Habitat Baseline'!AF72:AF75,B68,'D-1 Off-Site Habitat Baseline'!T72:T75)</f>
        <v>0</v>
      </c>
      <c r="D68" s="1354">
        <f>SUMIF('D-1 Off-Site Habitat Baseline'!$AF$11:$AF$258,'Off-site gain site summary'!$B$7,'D-1 Off-Site Habitat Baseline'!$X$11:$X$258)</f>
        <v>0</v>
      </c>
      <c r="E68" s="1355"/>
      <c r="F68" s="1354">
        <f>SUMIF('D-3 Off-Site Habitat Enhancment'!$AU$12:$AU$258,'Off-site gain site summary'!B68,'D-3 Off-Site Habitat Enhancment'!$AQ$12:$AQ$258)</f>
        <v>0</v>
      </c>
      <c r="G68" s="1355"/>
      <c r="H68" s="1354">
        <f>SUMIF('D-2 Off-Site Habitat Creation'!$AF$11:$AF$256,'Off-site gain site summary'!B68,'D-2 Off-Site Habitat Creation'!$AB$11:$AB$256)</f>
        <v>0</v>
      </c>
      <c r="I68" s="1355"/>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56"/>
      <c r="AF68" s="1356"/>
    </row>
    <row r="69" spans="1:32" x14ac:dyDescent="0.3">
      <c r="A69" s="757">
        <f>'D-1 Off-Site Habitat Baseline'!AF73</f>
        <v>0</v>
      </c>
      <c r="B69" s="764"/>
      <c r="C69" s="762">
        <f>SUMIF('D-1 Off-Site Habitat Baseline'!AF73:AF76,B69,'D-1 Off-Site Habitat Baseline'!T73:T76)</f>
        <v>0</v>
      </c>
      <c r="D69" s="1354">
        <f>SUMIF('D-1 Off-Site Habitat Baseline'!$AF$11:$AF$258,'Off-site gain site summary'!$B$7,'D-1 Off-Site Habitat Baseline'!$X$11:$X$258)</f>
        <v>0</v>
      </c>
      <c r="E69" s="1355"/>
      <c r="F69" s="1354">
        <f>SUMIF('D-3 Off-Site Habitat Enhancment'!$AU$12:$AU$258,'Off-site gain site summary'!B69,'D-3 Off-Site Habitat Enhancment'!$AQ$12:$AQ$258)</f>
        <v>0</v>
      </c>
      <c r="G69" s="1355"/>
      <c r="H69" s="1354">
        <f>SUMIF('D-2 Off-Site Habitat Creation'!$AF$11:$AF$256,'Off-site gain site summary'!B69,'D-2 Off-Site Habitat Creation'!$AB$11:$AB$256)</f>
        <v>0</v>
      </c>
      <c r="I69" s="1355"/>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56"/>
      <c r="AF69" s="1356"/>
    </row>
    <row r="70" spans="1:32" x14ac:dyDescent="0.3">
      <c r="A70" s="757">
        <f>'D-1 Off-Site Habitat Baseline'!AF74</f>
        <v>0</v>
      </c>
      <c r="B70" s="764"/>
      <c r="C70" s="762">
        <f>SUMIF('D-1 Off-Site Habitat Baseline'!AF74:AF77,B70,'D-1 Off-Site Habitat Baseline'!T74:T77)</f>
        <v>0</v>
      </c>
      <c r="D70" s="1354">
        <f>SUMIF('D-1 Off-Site Habitat Baseline'!$AF$11:$AF$258,'Off-site gain site summary'!$B$7,'D-1 Off-Site Habitat Baseline'!$X$11:$X$258)</f>
        <v>0</v>
      </c>
      <c r="E70" s="1355"/>
      <c r="F70" s="1354">
        <f>SUMIF('D-3 Off-Site Habitat Enhancment'!$AU$12:$AU$258,'Off-site gain site summary'!B70,'D-3 Off-Site Habitat Enhancment'!$AQ$12:$AQ$258)</f>
        <v>0</v>
      </c>
      <c r="G70" s="1355"/>
      <c r="H70" s="1354">
        <f>SUMIF('D-2 Off-Site Habitat Creation'!$AF$11:$AF$256,'Off-site gain site summary'!B70,'D-2 Off-Site Habitat Creation'!$AB$11:$AB$256)</f>
        <v>0</v>
      </c>
      <c r="I70" s="1355"/>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56"/>
      <c r="AF70" s="1356"/>
    </row>
    <row r="71" spans="1:32" x14ac:dyDescent="0.3">
      <c r="A71" s="757">
        <f>'D-1 Off-Site Habitat Baseline'!AF75</f>
        <v>0</v>
      </c>
      <c r="B71" s="764"/>
      <c r="C71" s="762">
        <f>SUMIF('D-1 Off-Site Habitat Baseline'!AF75:AF78,B71,'D-1 Off-Site Habitat Baseline'!T75:T78)</f>
        <v>0</v>
      </c>
      <c r="D71" s="1354">
        <f>SUMIF('D-1 Off-Site Habitat Baseline'!$AF$11:$AF$258,'Off-site gain site summary'!$B$7,'D-1 Off-Site Habitat Baseline'!$X$11:$X$258)</f>
        <v>0</v>
      </c>
      <c r="E71" s="1355"/>
      <c r="F71" s="1354">
        <f>SUMIF('D-3 Off-Site Habitat Enhancment'!$AU$12:$AU$258,'Off-site gain site summary'!B71,'D-3 Off-Site Habitat Enhancment'!$AQ$12:$AQ$258)</f>
        <v>0</v>
      </c>
      <c r="G71" s="1355"/>
      <c r="H71" s="1354">
        <f>SUMIF('D-2 Off-Site Habitat Creation'!$AF$11:$AF$256,'Off-site gain site summary'!B71,'D-2 Off-Site Habitat Creation'!$AB$11:$AB$256)</f>
        <v>0</v>
      </c>
      <c r="I71" s="1355"/>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56"/>
      <c r="AF71" s="1356"/>
    </row>
    <row r="72" spans="1:32" x14ac:dyDescent="0.3">
      <c r="A72" s="757">
        <f>'D-1 Off-Site Habitat Baseline'!AF76</f>
        <v>0</v>
      </c>
      <c r="B72" s="764"/>
      <c r="C72" s="762">
        <f>SUMIF('D-1 Off-Site Habitat Baseline'!AF76:AF79,B72,'D-1 Off-Site Habitat Baseline'!T76:T79)</f>
        <v>0</v>
      </c>
      <c r="D72" s="1354">
        <f>SUMIF('D-1 Off-Site Habitat Baseline'!$AF$11:$AF$258,'Off-site gain site summary'!$B$7,'D-1 Off-Site Habitat Baseline'!$X$11:$X$258)</f>
        <v>0</v>
      </c>
      <c r="E72" s="1355"/>
      <c r="F72" s="1354">
        <f>SUMIF('D-3 Off-Site Habitat Enhancment'!$AU$12:$AU$258,'Off-site gain site summary'!B72,'D-3 Off-Site Habitat Enhancment'!$AQ$12:$AQ$258)</f>
        <v>0</v>
      </c>
      <c r="G72" s="1355"/>
      <c r="H72" s="1354">
        <f>SUMIF('D-2 Off-Site Habitat Creation'!$AF$11:$AF$256,'Off-site gain site summary'!B72,'D-2 Off-Site Habitat Creation'!$AB$11:$AB$256)</f>
        <v>0</v>
      </c>
      <c r="I72" s="1355"/>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56"/>
      <c r="AF72" s="1356"/>
    </row>
    <row r="73" spans="1:32" x14ac:dyDescent="0.3">
      <c r="A73" s="757">
        <f>'D-1 Off-Site Habitat Baseline'!AF77</f>
        <v>0</v>
      </c>
      <c r="B73" s="764"/>
      <c r="C73" s="762">
        <f>SUMIF('D-1 Off-Site Habitat Baseline'!AF77:AF80,B73,'D-1 Off-Site Habitat Baseline'!T77:T80)</f>
        <v>0</v>
      </c>
      <c r="D73" s="1354">
        <f>SUMIF('D-1 Off-Site Habitat Baseline'!$AF$11:$AF$258,'Off-site gain site summary'!$B$7,'D-1 Off-Site Habitat Baseline'!$X$11:$X$258)</f>
        <v>0</v>
      </c>
      <c r="E73" s="1355"/>
      <c r="F73" s="1354">
        <f>SUMIF('D-3 Off-Site Habitat Enhancment'!$AU$12:$AU$258,'Off-site gain site summary'!B73,'D-3 Off-Site Habitat Enhancment'!$AQ$12:$AQ$258)</f>
        <v>0</v>
      </c>
      <c r="G73" s="1355"/>
      <c r="H73" s="1354">
        <f>SUMIF('D-2 Off-Site Habitat Creation'!$AF$11:$AF$256,'Off-site gain site summary'!B73,'D-2 Off-Site Habitat Creation'!$AB$11:$AB$256)</f>
        <v>0</v>
      </c>
      <c r="I73" s="1355"/>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56"/>
      <c r="AF73" s="1356"/>
    </row>
    <row r="74" spans="1:32" x14ac:dyDescent="0.3">
      <c r="A74" s="757">
        <f>'D-1 Off-Site Habitat Baseline'!AF78</f>
        <v>0</v>
      </c>
      <c r="B74" s="764"/>
      <c r="C74" s="762">
        <f>SUMIF('D-1 Off-Site Habitat Baseline'!AF78:AF81,B74,'D-1 Off-Site Habitat Baseline'!T78:T81)</f>
        <v>0</v>
      </c>
      <c r="D74" s="1354">
        <f>SUMIF('D-1 Off-Site Habitat Baseline'!$AF$11:$AF$258,'Off-site gain site summary'!$B$7,'D-1 Off-Site Habitat Baseline'!$X$11:$X$258)</f>
        <v>0</v>
      </c>
      <c r="E74" s="1355"/>
      <c r="F74" s="1354">
        <f>SUMIF('D-3 Off-Site Habitat Enhancment'!$AU$12:$AU$258,'Off-site gain site summary'!B74,'D-3 Off-Site Habitat Enhancment'!$AQ$12:$AQ$258)</f>
        <v>0</v>
      </c>
      <c r="G74" s="1355"/>
      <c r="H74" s="1354">
        <f>SUMIF('D-2 Off-Site Habitat Creation'!$AF$11:$AF$256,'Off-site gain site summary'!B74,'D-2 Off-Site Habitat Creation'!$AB$11:$AB$256)</f>
        <v>0</v>
      </c>
      <c r="I74" s="1355"/>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56"/>
      <c r="AF74" s="1356"/>
    </row>
    <row r="75" spans="1:32" x14ac:dyDescent="0.3">
      <c r="A75" s="757">
        <f>'D-1 Off-Site Habitat Baseline'!AF79</f>
        <v>0</v>
      </c>
      <c r="B75" s="764"/>
      <c r="C75" s="762">
        <f>SUMIF('D-1 Off-Site Habitat Baseline'!AF79:AF82,B75,'D-1 Off-Site Habitat Baseline'!T79:T82)</f>
        <v>0</v>
      </c>
      <c r="D75" s="1354">
        <f>SUMIF('D-1 Off-Site Habitat Baseline'!$AF$11:$AF$258,'Off-site gain site summary'!$B$7,'D-1 Off-Site Habitat Baseline'!$X$11:$X$258)</f>
        <v>0</v>
      </c>
      <c r="E75" s="1355"/>
      <c r="F75" s="1354">
        <f>SUMIF('D-3 Off-Site Habitat Enhancment'!$AU$12:$AU$258,'Off-site gain site summary'!B75,'D-3 Off-Site Habitat Enhancment'!$AQ$12:$AQ$258)</f>
        <v>0</v>
      </c>
      <c r="G75" s="1355"/>
      <c r="H75" s="1354">
        <f>SUMIF('D-2 Off-Site Habitat Creation'!$AF$11:$AF$256,'Off-site gain site summary'!B75,'D-2 Off-Site Habitat Creation'!$AB$11:$AB$256)</f>
        <v>0</v>
      </c>
      <c r="I75" s="1355"/>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56"/>
      <c r="AF75" s="1356"/>
    </row>
    <row r="76" spans="1:32" x14ac:dyDescent="0.3">
      <c r="A76" s="757">
        <f>'D-1 Off-Site Habitat Baseline'!AF80</f>
        <v>0</v>
      </c>
      <c r="B76" s="764"/>
      <c r="C76" s="762">
        <f>SUMIF('D-1 Off-Site Habitat Baseline'!AF80:AF83,B76,'D-1 Off-Site Habitat Baseline'!T80:T83)</f>
        <v>0</v>
      </c>
      <c r="D76" s="1354">
        <f>SUMIF('D-1 Off-Site Habitat Baseline'!$AF$11:$AF$258,'Off-site gain site summary'!$B$7,'D-1 Off-Site Habitat Baseline'!$X$11:$X$258)</f>
        <v>0</v>
      </c>
      <c r="E76" s="1355"/>
      <c r="F76" s="1354">
        <f>SUMIF('D-3 Off-Site Habitat Enhancment'!$AU$12:$AU$258,'Off-site gain site summary'!B76,'D-3 Off-Site Habitat Enhancment'!$AQ$12:$AQ$258)</f>
        <v>0</v>
      </c>
      <c r="G76" s="1355"/>
      <c r="H76" s="1354">
        <f>SUMIF('D-2 Off-Site Habitat Creation'!$AF$11:$AF$256,'Off-site gain site summary'!B76,'D-2 Off-Site Habitat Creation'!$AB$11:$AB$256)</f>
        <v>0</v>
      </c>
      <c r="I76" s="1355"/>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56"/>
      <c r="AF76" s="1356"/>
    </row>
    <row r="77" spans="1:32" x14ac:dyDescent="0.3">
      <c r="A77" s="757">
        <f>'D-1 Off-Site Habitat Baseline'!AF81</f>
        <v>0</v>
      </c>
      <c r="B77" s="764"/>
      <c r="C77" s="762">
        <f>SUMIF('D-1 Off-Site Habitat Baseline'!AF81:AF84,B77,'D-1 Off-Site Habitat Baseline'!T81:T84)</f>
        <v>0</v>
      </c>
      <c r="D77" s="1354">
        <f>SUMIF('D-1 Off-Site Habitat Baseline'!$AF$11:$AF$258,'Off-site gain site summary'!$B$7,'D-1 Off-Site Habitat Baseline'!$X$11:$X$258)</f>
        <v>0</v>
      </c>
      <c r="E77" s="1355"/>
      <c r="F77" s="1354">
        <f>SUMIF('D-3 Off-Site Habitat Enhancment'!$AU$12:$AU$258,'Off-site gain site summary'!B77,'D-3 Off-Site Habitat Enhancment'!$AQ$12:$AQ$258)</f>
        <v>0</v>
      </c>
      <c r="G77" s="1355"/>
      <c r="H77" s="1354">
        <f>SUMIF('D-2 Off-Site Habitat Creation'!$AF$11:$AF$256,'Off-site gain site summary'!B77,'D-2 Off-Site Habitat Creation'!$AB$11:$AB$256)</f>
        <v>0</v>
      </c>
      <c r="I77" s="1355"/>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56"/>
      <c r="AF77" s="1356"/>
    </row>
    <row r="78" spans="1:32" x14ac:dyDescent="0.3">
      <c r="A78" s="757">
        <f>'D-1 Off-Site Habitat Baseline'!AF82</f>
        <v>0</v>
      </c>
      <c r="B78" s="764"/>
      <c r="C78" s="762">
        <f>SUMIF('D-1 Off-Site Habitat Baseline'!AF82:AF85,B78,'D-1 Off-Site Habitat Baseline'!T82:T85)</f>
        <v>0</v>
      </c>
      <c r="D78" s="1354">
        <f>SUMIF('D-1 Off-Site Habitat Baseline'!$AF$11:$AF$258,'Off-site gain site summary'!$B$7,'D-1 Off-Site Habitat Baseline'!$X$11:$X$258)</f>
        <v>0</v>
      </c>
      <c r="E78" s="1355"/>
      <c r="F78" s="1354">
        <f>SUMIF('D-3 Off-Site Habitat Enhancment'!$AU$12:$AU$258,'Off-site gain site summary'!B78,'D-3 Off-Site Habitat Enhancment'!$AQ$12:$AQ$258)</f>
        <v>0</v>
      </c>
      <c r="G78" s="1355"/>
      <c r="H78" s="1354">
        <f>SUMIF('D-2 Off-Site Habitat Creation'!$AF$11:$AF$256,'Off-site gain site summary'!B78,'D-2 Off-Site Habitat Creation'!$AB$11:$AB$256)</f>
        <v>0</v>
      </c>
      <c r="I78" s="1355"/>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56"/>
      <c r="AF78" s="1356"/>
    </row>
    <row r="79" spans="1:32" x14ac:dyDescent="0.3">
      <c r="A79" s="757">
        <f>'D-1 Off-Site Habitat Baseline'!AF83</f>
        <v>0</v>
      </c>
      <c r="B79" s="764"/>
      <c r="C79" s="762">
        <f>SUMIF('D-1 Off-Site Habitat Baseline'!AF83:AF86,B79,'D-1 Off-Site Habitat Baseline'!T83:T86)</f>
        <v>0</v>
      </c>
      <c r="D79" s="1354">
        <f>SUMIF('D-1 Off-Site Habitat Baseline'!$AF$11:$AF$258,'Off-site gain site summary'!$B$7,'D-1 Off-Site Habitat Baseline'!$X$11:$X$258)</f>
        <v>0</v>
      </c>
      <c r="E79" s="1355"/>
      <c r="F79" s="1354">
        <f>SUMIF('D-3 Off-Site Habitat Enhancment'!$AU$12:$AU$258,'Off-site gain site summary'!B79,'D-3 Off-Site Habitat Enhancment'!$AQ$12:$AQ$258)</f>
        <v>0</v>
      </c>
      <c r="G79" s="1355"/>
      <c r="H79" s="1354">
        <f>SUMIF('D-2 Off-Site Habitat Creation'!$AF$11:$AF$256,'Off-site gain site summary'!B79,'D-2 Off-Site Habitat Creation'!$AB$11:$AB$256)</f>
        <v>0</v>
      </c>
      <c r="I79" s="1355"/>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56"/>
      <c r="AF79" s="1356"/>
    </row>
    <row r="80" spans="1:32" x14ac:dyDescent="0.3">
      <c r="A80" s="757">
        <f>'D-1 Off-Site Habitat Baseline'!AF84</f>
        <v>0</v>
      </c>
      <c r="B80" s="764"/>
      <c r="C80" s="762">
        <f>SUMIF('D-1 Off-Site Habitat Baseline'!AF84:AF87,B80,'D-1 Off-Site Habitat Baseline'!T84:T87)</f>
        <v>0</v>
      </c>
      <c r="D80" s="1354">
        <f>SUMIF('D-1 Off-Site Habitat Baseline'!$AF$11:$AF$258,'Off-site gain site summary'!$B$7,'D-1 Off-Site Habitat Baseline'!$X$11:$X$258)</f>
        <v>0</v>
      </c>
      <c r="E80" s="1355"/>
      <c r="F80" s="1354">
        <f>SUMIF('D-3 Off-Site Habitat Enhancment'!$AU$12:$AU$258,'Off-site gain site summary'!B80,'D-3 Off-Site Habitat Enhancment'!$AQ$12:$AQ$258)</f>
        <v>0</v>
      </c>
      <c r="G80" s="1355"/>
      <c r="H80" s="1354">
        <f>SUMIF('D-2 Off-Site Habitat Creation'!$AF$11:$AF$256,'Off-site gain site summary'!B80,'D-2 Off-Site Habitat Creation'!$AB$11:$AB$256)</f>
        <v>0</v>
      </c>
      <c r="I80" s="1355"/>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56"/>
      <c r="AF80" s="1356"/>
    </row>
    <row r="81" spans="1:32" x14ac:dyDescent="0.3">
      <c r="A81" s="757">
        <f>'D-1 Off-Site Habitat Baseline'!AF85</f>
        <v>0</v>
      </c>
      <c r="B81" s="764"/>
      <c r="C81" s="762">
        <f>SUMIF('D-1 Off-Site Habitat Baseline'!AF85:AF88,B81,'D-1 Off-Site Habitat Baseline'!T85:T88)</f>
        <v>0</v>
      </c>
      <c r="D81" s="1354">
        <f>SUMIF('D-1 Off-Site Habitat Baseline'!$AF$11:$AF$258,'Off-site gain site summary'!$B$7,'D-1 Off-Site Habitat Baseline'!$X$11:$X$258)</f>
        <v>0</v>
      </c>
      <c r="E81" s="1355"/>
      <c r="F81" s="1354">
        <f>SUMIF('D-3 Off-Site Habitat Enhancment'!$AU$12:$AU$258,'Off-site gain site summary'!B81,'D-3 Off-Site Habitat Enhancment'!$AQ$12:$AQ$258)</f>
        <v>0</v>
      </c>
      <c r="G81" s="1355"/>
      <c r="H81" s="1354">
        <f>SUMIF('D-2 Off-Site Habitat Creation'!$AF$11:$AF$256,'Off-site gain site summary'!B81,'D-2 Off-Site Habitat Creation'!$AB$11:$AB$256)</f>
        <v>0</v>
      </c>
      <c r="I81" s="1355"/>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56"/>
      <c r="AF81" s="1356"/>
    </row>
    <row r="82" spans="1:32" x14ac:dyDescent="0.3">
      <c r="A82" s="757">
        <f>'D-1 Off-Site Habitat Baseline'!AF86</f>
        <v>0</v>
      </c>
      <c r="B82" s="764"/>
      <c r="C82" s="762">
        <f>SUMIF('D-1 Off-Site Habitat Baseline'!AF86:AF89,B82,'D-1 Off-Site Habitat Baseline'!T86:T89)</f>
        <v>0</v>
      </c>
      <c r="D82" s="1354">
        <f>SUMIF('D-1 Off-Site Habitat Baseline'!$AF$11:$AF$258,'Off-site gain site summary'!$B$7,'D-1 Off-Site Habitat Baseline'!$X$11:$X$258)</f>
        <v>0</v>
      </c>
      <c r="E82" s="1355"/>
      <c r="F82" s="1354">
        <f>SUMIF('D-3 Off-Site Habitat Enhancment'!$AU$12:$AU$258,'Off-site gain site summary'!B82,'D-3 Off-Site Habitat Enhancment'!$AQ$12:$AQ$258)</f>
        <v>0</v>
      </c>
      <c r="G82" s="1355"/>
      <c r="H82" s="1354">
        <f>SUMIF('D-2 Off-Site Habitat Creation'!$AF$11:$AF$256,'Off-site gain site summary'!B82,'D-2 Off-Site Habitat Creation'!$AB$11:$AB$256)</f>
        <v>0</v>
      </c>
      <c r="I82" s="1355"/>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56"/>
      <c r="AF82" s="1356"/>
    </row>
    <row r="83" spans="1:32" x14ac:dyDescent="0.3">
      <c r="A83" s="757">
        <f>'D-1 Off-Site Habitat Baseline'!AF87</f>
        <v>0</v>
      </c>
      <c r="B83" s="764"/>
      <c r="C83" s="762">
        <f>SUMIF('D-1 Off-Site Habitat Baseline'!AF87:AF90,B83,'D-1 Off-Site Habitat Baseline'!T87:T90)</f>
        <v>0</v>
      </c>
      <c r="D83" s="1354">
        <f>SUMIF('D-1 Off-Site Habitat Baseline'!$AF$11:$AF$258,'Off-site gain site summary'!$B$7,'D-1 Off-Site Habitat Baseline'!$X$11:$X$258)</f>
        <v>0</v>
      </c>
      <c r="E83" s="1355"/>
      <c r="F83" s="1354">
        <f>SUMIF('D-3 Off-Site Habitat Enhancment'!$AU$12:$AU$258,'Off-site gain site summary'!B83,'D-3 Off-Site Habitat Enhancment'!$AQ$12:$AQ$258)</f>
        <v>0</v>
      </c>
      <c r="G83" s="1355"/>
      <c r="H83" s="1354">
        <f>SUMIF('D-2 Off-Site Habitat Creation'!$AF$11:$AF$256,'Off-site gain site summary'!B83,'D-2 Off-Site Habitat Creation'!$AB$11:$AB$256)</f>
        <v>0</v>
      </c>
      <c r="I83" s="1355"/>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56"/>
      <c r="AF83" s="1356"/>
    </row>
    <row r="84" spans="1:32" x14ac:dyDescent="0.3">
      <c r="A84" s="757">
        <f>'D-1 Off-Site Habitat Baseline'!AF88</f>
        <v>0</v>
      </c>
      <c r="B84" s="764"/>
      <c r="C84" s="762">
        <f>SUMIF('D-1 Off-Site Habitat Baseline'!AF88:AF91,B84,'D-1 Off-Site Habitat Baseline'!T88:T91)</f>
        <v>0</v>
      </c>
      <c r="D84" s="1354">
        <f>SUMIF('D-1 Off-Site Habitat Baseline'!$AF$11:$AF$258,'Off-site gain site summary'!$B$7,'D-1 Off-Site Habitat Baseline'!$X$11:$X$258)</f>
        <v>0</v>
      </c>
      <c r="E84" s="1355"/>
      <c r="F84" s="1354">
        <f>SUMIF('D-3 Off-Site Habitat Enhancment'!$AU$12:$AU$258,'Off-site gain site summary'!B84,'D-3 Off-Site Habitat Enhancment'!$AQ$12:$AQ$258)</f>
        <v>0</v>
      </c>
      <c r="G84" s="1355"/>
      <c r="H84" s="1354">
        <f>SUMIF('D-2 Off-Site Habitat Creation'!$AF$11:$AF$256,'Off-site gain site summary'!B84,'D-2 Off-Site Habitat Creation'!$AB$11:$AB$256)</f>
        <v>0</v>
      </c>
      <c r="I84" s="1355"/>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56"/>
      <c r="AF84" s="1356"/>
    </row>
    <row r="85" spans="1:32" x14ac:dyDescent="0.3">
      <c r="A85" s="757">
        <f>'D-1 Off-Site Habitat Baseline'!AF89</f>
        <v>0</v>
      </c>
      <c r="B85" s="764"/>
      <c r="C85" s="762">
        <f>SUMIF('D-1 Off-Site Habitat Baseline'!AF89:AF92,B85,'D-1 Off-Site Habitat Baseline'!T89:T92)</f>
        <v>0</v>
      </c>
      <c r="D85" s="1354">
        <f>SUMIF('D-1 Off-Site Habitat Baseline'!$AF$11:$AF$258,'Off-site gain site summary'!$B$7,'D-1 Off-Site Habitat Baseline'!$X$11:$X$258)</f>
        <v>0</v>
      </c>
      <c r="E85" s="1355"/>
      <c r="F85" s="1354">
        <f>SUMIF('D-3 Off-Site Habitat Enhancment'!$AU$12:$AU$258,'Off-site gain site summary'!B85,'D-3 Off-Site Habitat Enhancment'!$AQ$12:$AQ$258)</f>
        <v>0</v>
      </c>
      <c r="G85" s="1355"/>
      <c r="H85" s="1354">
        <f>SUMIF('D-2 Off-Site Habitat Creation'!$AF$11:$AF$256,'Off-site gain site summary'!B85,'D-2 Off-Site Habitat Creation'!$AB$11:$AB$256)</f>
        <v>0</v>
      </c>
      <c r="I85" s="1355"/>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56"/>
      <c r="AF85" s="1356"/>
    </row>
    <row r="86" spans="1:32" x14ac:dyDescent="0.3">
      <c r="A86" s="757">
        <f>'D-1 Off-Site Habitat Baseline'!AF90</f>
        <v>0</v>
      </c>
      <c r="B86" s="764"/>
      <c r="C86" s="762">
        <f>SUMIF('D-1 Off-Site Habitat Baseline'!AF90:AF93,B86,'D-1 Off-Site Habitat Baseline'!T90:T93)</f>
        <v>0</v>
      </c>
      <c r="D86" s="1354">
        <f>SUMIF('D-1 Off-Site Habitat Baseline'!$AF$11:$AF$258,'Off-site gain site summary'!$B$7,'D-1 Off-Site Habitat Baseline'!$X$11:$X$258)</f>
        <v>0</v>
      </c>
      <c r="E86" s="1355"/>
      <c r="F86" s="1354">
        <f>SUMIF('D-3 Off-Site Habitat Enhancment'!$AU$12:$AU$258,'Off-site gain site summary'!B86,'D-3 Off-Site Habitat Enhancment'!$AQ$12:$AQ$258)</f>
        <v>0</v>
      </c>
      <c r="G86" s="1355"/>
      <c r="H86" s="1354">
        <f>SUMIF('D-2 Off-Site Habitat Creation'!$AF$11:$AF$256,'Off-site gain site summary'!B86,'D-2 Off-Site Habitat Creation'!$AB$11:$AB$256)</f>
        <v>0</v>
      </c>
      <c r="I86" s="1355"/>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56"/>
      <c r="AF86" s="1356"/>
    </row>
    <row r="87" spans="1:32" x14ac:dyDescent="0.3">
      <c r="A87" s="757">
        <f>'D-1 Off-Site Habitat Baseline'!AF91</f>
        <v>0</v>
      </c>
      <c r="B87" s="764"/>
      <c r="C87" s="762">
        <f>SUMIF('D-1 Off-Site Habitat Baseline'!AF91:AF94,B87,'D-1 Off-Site Habitat Baseline'!T91:T94)</f>
        <v>0</v>
      </c>
      <c r="D87" s="1354">
        <f>SUMIF('D-1 Off-Site Habitat Baseline'!$AF$11:$AF$258,'Off-site gain site summary'!$B$7,'D-1 Off-Site Habitat Baseline'!$X$11:$X$258)</f>
        <v>0</v>
      </c>
      <c r="E87" s="1355"/>
      <c r="F87" s="1354">
        <f>SUMIF('D-3 Off-Site Habitat Enhancment'!$AU$12:$AU$258,'Off-site gain site summary'!B87,'D-3 Off-Site Habitat Enhancment'!$AQ$12:$AQ$258)</f>
        <v>0</v>
      </c>
      <c r="G87" s="1355"/>
      <c r="H87" s="1354">
        <f>SUMIF('D-2 Off-Site Habitat Creation'!$AF$11:$AF$256,'Off-site gain site summary'!B87,'D-2 Off-Site Habitat Creation'!$AB$11:$AB$256)</f>
        <v>0</v>
      </c>
      <c r="I87" s="1355"/>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56"/>
      <c r="AF87" s="1356"/>
    </row>
    <row r="88" spans="1:32" x14ac:dyDescent="0.3">
      <c r="A88" s="757">
        <f>'D-1 Off-Site Habitat Baseline'!AF92</f>
        <v>0</v>
      </c>
      <c r="B88" s="764"/>
      <c r="C88" s="762">
        <f>SUMIF('D-1 Off-Site Habitat Baseline'!AF92:AF95,B88,'D-1 Off-Site Habitat Baseline'!T92:T95)</f>
        <v>0</v>
      </c>
      <c r="D88" s="1354">
        <f>SUMIF('D-1 Off-Site Habitat Baseline'!$AF$11:$AF$258,'Off-site gain site summary'!$B$7,'D-1 Off-Site Habitat Baseline'!$X$11:$X$258)</f>
        <v>0</v>
      </c>
      <c r="E88" s="1355"/>
      <c r="F88" s="1354">
        <f>SUMIF('D-3 Off-Site Habitat Enhancment'!$AU$12:$AU$258,'Off-site gain site summary'!B88,'D-3 Off-Site Habitat Enhancment'!$AQ$12:$AQ$258)</f>
        <v>0</v>
      </c>
      <c r="G88" s="1355"/>
      <c r="H88" s="1354">
        <f>SUMIF('D-2 Off-Site Habitat Creation'!$AF$11:$AF$256,'Off-site gain site summary'!B88,'D-2 Off-Site Habitat Creation'!$AB$11:$AB$256)</f>
        <v>0</v>
      </c>
      <c r="I88" s="1355"/>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56"/>
      <c r="AF88" s="1356"/>
    </row>
    <row r="89" spans="1:32" x14ac:dyDescent="0.3">
      <c r="A89" s="757">
        <f>'D-1 Off-Site Habitat Baseline'!AF93</f>
        <v>0</v>
      </c>
      <c r="B89" s="764"/>
      <c r="C89" s="762">
        <f>SUMIF('D-1 Off-Site Habitat Baseline'!AF93:AF96,B89,'D-1 Off-Site Habitat Baseline'!T93:T96)</f>
        <v>0</v>
      </c>
      <c r="D89" s="1354">
        <f>SUMIF('D-1 Off-Site Habitat Baseline'!$AF$11:$AF$258,'Off-site gain site summary'!$B$7,'D-1 Off-Site Habitat Baseline'!$X$11:$X$258)</f>
        <v>0</v>
      </c>
      <c r="E89" s="1355"/>
      <c r="F89" s="1354">
        <f>SUMIF('D-3 Off-Site Habitat Enhancment'!$AU$12:$AU$258,'Off-site gain site summary'!B89,'D-3 Off-Site Habitat Enhancment'!$AQ$12:$AQ$258)</f>
        <v>0</v>
      </c>
      <c r="G89" s="1355"/>
      <c r="H89" s="1354">
        <f>SUMIF('D-2 Off-Site Habitat Creation'!$AF$11:$AF$256,'Off-site gain site summary'!B89,'D-2 Off-Site Habitat Creation'!$AB$11:$AB$256)</f>
        <v>0</v>
      </c>
      <c r="I89" s="1355"/>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56"/>
      <c r="AF89" s="1356"/>
    </row>
    <row r="90" spans="1:32" x14ac:dyDescent="0.3">
      <c r="A90" s="757">
        <f>'D-1 Off-Site Habitat Baseline'!AF94</f>
        <v>0</v>
      </c>
      <c r="B90" s="764"/>
      <c r="C90" s="762">
        <f>SUMIF('D-1 Off-Site Habitat Baseline'!AF94:AF97,B90,'D-1 Off-Site Habitat Baseline'!T94:T97)</f>
        <v>0</v>
      </c>
      <c r="D90" s="1354">
        <f>SUMIF('D-1 Off-Site Habitat Baseline'!$AF$11:$AF$258,'Off-site gain site summary'!$B$7,'D-1 Off-Site Habitat Baseline'!$X$11:$X$258)</f>
        <v>0</v>
      </c>
      <c r="E90" s="1355"/>
      <c r="F90" s="1354">
        <f>SUMIF('D-3 Off-Site Habitat Enhancment'!$AU$12:$AU$258,'Off-site gain site summary'!B90,'D-3 Off-Site Habitat Enhancment'!$AQ$12:$AQ$258)</f>
        <v>0</v>
      </c>
      <c r="G90" s="1355"/>
      <c r="H90" s="1354">
        <f>SUMIF('D-2 Off-Site Habitat Creation'!$AF$11:$AF$256,'Off-site gain site summary'!B90,'D-2 Off-Site Habitat Creation'!$AB$11:$AB$256)</f>
        <v>0</v>
      </c>
      <c r="I90" s="1355"/>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56"/>
      <c r="AF90" s="1356"/>
    </row>
    <row r="91" spans="1:32" x14ac:dyDescent="0.3">
      <c r="A91" s="757">
        <f>'D-1 Off-Site Habitat Baseline'!AF95</f>
        <v>0</v>
      </c>
      <c r="B91" s="764"/>
      <c r="C91" s="762">
        <f>SUMIF('D-1 Off-Site Habitat Baseline'!AF95:AF98,B91,'D-1 Off-Site Habitat Baseline'!T95:T98)</f>
        <v>0</v>
      </c>
      <c r="D91" s="1354">
        <f>SUMIF('D-1 Off-Site Habitat Baseline'!$AF$11:$AF$258,'Off-site gain site summary'!$B$7,'D-1 Off-Site Habitat Baseline'!$X$11:$X$258)</f>
        <v>0</v>
      </c>
      <c r="E91" s="1355"/>
      <c r="F91" s="1354">
        <f>SUMIF('D-3 Off-Site Habitat Enhancment'!$AU$12:$AU$258,'Off-site gain site summary'!B91,'D-3 Off-Site Habitat Enhancment'!$AQ$12:$AQ$258)</f>
        <v>0</v>
      </c>
      <c r="G91" s="1355"/>
      <c r="H91" s="1354">
        <f>SUMIF('D-2 Off-Site Habitat Creation'!$AF$11:$AF$256,'Off-site gain site summary'!B91,'D-2 Off-Site Habitat Creation'!$AB$11:$AB$256)</f>
        <v>0</v>
      </c>
      <c r="I91" s="1355"/>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56"/>
      <c r="AF91" s="1356"/>
    </row>
    <row r="92" spans="1:32" x14ac:dyDescent="0.3">
      <c r="A92" s="757">
        <f>'D-1 Off-Site Habitat Baseline'!AF96</f>
        <v>0</v>
      </c>
      <c r="B92" s="764"/>
      <c r="C92" s="762">
        <f>SUMIF('D-1 Off-Site Habitat Baseline'!AF96:AF99,B92,'D-1 Off-Site Habitat Baseline'!T96:T99)</f>
        <v>0</v>
      </c>
      <c r="D92" s="1354">
        <f>SUMIF('D-1 Off-Site Habitat Baseline'!$AF$11:$AF$258,'Off-site gain site summary'!$B$7,'D-1 Off-Site Habitat Baseline'!$X$11:$X$258)</f>
        <v>0</v>
      </c>
      <c r="E92" s="1355"/>
      <c r="F92" s="1354">
        <f>SUMIF('D-3 Off-Site Habitat Enhancment'!$AU$12:$AU$258,'Off-site gain site summary'!B92,'D-3 Off-Site Habitat Enhancment'!$AQ$12:$AQ$258)</f>
        <v>0</v>
      </c>
      <c r="G92" s="1355"/>
      <c r="H92" s="1354">
        <f>SUMIF('D-2 Off-Site Habitat Creation'!$AF$11:$AF$256,'Off-site gain site summary'!B92,'D-2 Off-Site Habitat Creation'!$AB$11:$AB$256)</f>
        <v>0</v>
      </c>
      <c r="I92" s="1355"/>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56"/>
      <c r="AF92" s="1356"/>
    </row>
    <row r="93" spans="1:32" x14ac:dyDescent="0.3">
      <c r="A93" s="757">
        <f>'D-1 Off-Site Habitat Baseline'!AF97</f>
        <v>0</v>
      </c>
      <c r="B93" s="764"/>
      <c r="C93" s="762">
        <f>SUMIF('D-1 Off-Site Habitat Baseline'!AF97:AF100,B93,'D-1 Off-Site Habitat Baseline'!T97:T100)</f>
        <v>0</v>
      </c>
      <c r="D93" s="1354">
        <f>SUMIF('D-1 Off-Site Habitat Baseline'!$AF$11:$AF$258,'Off-site gain site summary'!$B$7,'D-1 Off-Site Habitat Baseline'!$X$11:$X$258)</f>
        <v>0</v>
      </c>
      <c r="E93" s="1355"/>
      <c r="F93" s="1354">
        <f>SUMIF('D-3 Off-Site Habitat Enhancment'!$AU$12:$AU$258,'Off-site gain site summary'!B93,'D-3 Off-Site Habitat Enhancment'!$AQ$12:$AQ$258)</f>
        <v>0</v>
      </c>
      <c r="G93" s="1355"/>
      <c r="H93" s="1354">
        <f>SUMIF('D-2 Off-Site Habitat Creation'!$AF$11:$AF$256,'Off-site gain site summary'!B93,'D-2 Off-Site Habitat Creation'!$AB$11:$AB$256)</f>
        <v>0</v>
      </c>
      <c r="I93" s="1355"/>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56"/>
      <c r="AF93" s="1356"/>
    </row>
    <row r="94" spans="1:32" x14ac:dyDescent="0.3">
      <c r="A94" s="757">
        <f>'D-1 Off-Site Habitat Baseline'!AF98</f>
        <v>0</v>
      </c>
      <c r="B94" s="764"/>
      <c r="C94" s="762">
        <f>SUMIF('D-1 Off-Site Habitat Baseline'!AF98:AF101,B94,'D-1 Off-Site Habitat Baseline'!T98:T101)</f>
        <v>0</v>
      </c>
      <c r="D94" s="1354">
        <f>SUMIF('D-1 Off-Site Habitat Baseline'!$AF$11:$AF$258,'Off-site gain site summary'!$B$7,'D-1 Off-Site Habitat Baseline'!$X$11:$X$258)</f>
        <v>0</v>
      </c>
      <c r="E94" s="1355"/>
      <c r="F94" s="1354">
        <f>SUMIF('D-3 Off-Site Habitat Enhancment'!$AU$12:$AU$258,'Off-site gain site summary'!B94,'D-3 Off-Site Habitat Enhancment'!$AQ$12:$AQ$258)</f>
        <v>0</v>
      </c>
      <c r="G94" s="1355"/>
      <c r="H94" s="1354">
        <f>SUMIF('D-2 Off-Site Habitat Creation'!$AF$11:$AF$256,'Off-site gain site summary'!B94,'D-2 Off-Site Habitat Creation'!$AB$11:$AB$256)</f>
        <v>0</v>
      </c>
      <c r="I94" s="1355"/>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56"/>
      <c r="AF94" s="1356"/>
    </row>
    <row r="95" spans="1:32" x14ac:dyDescent="0.3">
      <c r="A95" s="757">
        <f>'D-1 Off-Site Habitat Baseline'!AF99</f>
        <v>0</v>
      </c>
      <c r="B95" s="764"/>
      <c r="C95" s="762">
        <f>SUMIF('D-1 Off-Site Habitat Baseline'!AF99:AF102,B95,'D-1 Off-Site Habitat Baseline'!T99:T102)</f>
        <v>0</v>
      </c>
      <c r="D95" s="1354">
        <f>SUMIF('D-1 Off-Site Habitat Baseline'!$AF$11:$AF$258,'Off-site gain site summary'!$B$7,'D-1 Off-Site Habitat Baseline'!$X$11:$X$258)</f>
        <v>0</v>
      </c>
      <c r="E95" s="1355"/>
      <c r="F95" s="1354">
        <f>SUMIF('D-3 Off-Site Habitat Enhancment'!$AU$12:$AU$258,'Off-site gain site summary'!B95,'D-3 Off-Site Habitat Enhancment'!$AQ$12:$AQ$258)</f>
        <v>0</v>
      </c>
      <c r="G95" s="1355"/>
      <c r="H95" s="1354">
        <f>SUMIF('D-2 Off-Site Habitat Creation'!$AF$11:$AF$256,'Off-site gain site summary'!B95,'D-2 Off-Site Habitat Creation'!$AB$11:$AB$256)</f>
        <v>0</v>
      </c>
      <c r="I95" s="1355"/>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56"/>
      <c r="AF95" s="1356"/>
    </row>
    <row r="96" spans="1:32" x14ac:dyDescent="0.3">
      <c r="A96" s="757">
        <f>'D-1 Off-Site Habitat Baseline'!AF100</f>
        <v>0</v>
      </c>
      <c r="B96" s="764"/>
      <c r="C96" s="762">
        <f>SUMIF('D-1 Off-Site Habitat Baseline'!AF100:AF103,B96,'D-1 Off-Site Habitat Baseline'!T100:T103)</f>
        <v>0</v>
      </c>
      <c r="D96" s="1354">
        <f>SUMIF('D-1 Off-Site Habitat Baseline'!$AF$11:$AF$258,'Off-site gain site summary'!$B$7,'D-1 Off-Site Habitat Baseline'!$X$11:$X$258)</f>
        <v>0</v>
      </c>
      <c r="E96" s="1355"/>
      <c r="F96" s="1354">
        <f>SUMIF('D-3 Off-Site Habitat Enhancment'!$AU$12:$AU$258,'Off-site gain site summary'!B96,'D-3 Off-Site Habitat Enhancment'!$AQ$12:$AQ$258)</f>
        <v>0</v>
      </c>
      <c r="G96" s="1355"/>
      <c r="H96" s="1354">
        <f>SUMIF('D-2 Off-Site Habitat Creation'!$AF$11:$AF$256,'Off-site gain site summary'!B96,'D-2 Off-Site Habitat Creation'!$AB$11:$AB$256)</f>
        <v>0</v>
      </c>
      <c r="I96" s="1355"/>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56"/>
      <c r="AF96" s="1356"/>
    </row>
    <row r="97" spans="1:32" x14ac:dyDescent="0.3">
      <c r="A97" s="757">
        <f>'D-1 Off-Site Habitat Baseline'!AF101</f>
        <v>0</v>
      </c>
      <c r="B97" s="764"/>
      <c r="C97" s="762">
        <f>SUMIF('D-1 Off-Site Habitat Baseline'!AF101:AF104,B97,'D-1 Off-Site Habitat Baseline'!T101:T104)</f>
        <v>0</v>
      </c>
      <c r="D97" s="1354">
        <f>SUMIF('D-1 Off-Site Habitat Baseline'!$AF$11:$AF$258,'Off-site gain site summary'!$B$7,'D-1 Off-Site Habitat Baseline'!$X$11:$X$258)</f>
        <v>0</v>
      </c>
      <c r="E97" s="1355"/>
      <c r="F97" s="1354">
        <f>SUMIF('D-3 Off-Site Habitat Enhancment'!$AU$12:$AU$258,'Off-site gain site summary'!B97,'D-3 Off-Site Habitat Enhancment'!$AQ$12:$AQ$258)</f>
        <v>0</v>
      </c>
      <c r="G97" s="1355"/>
      <c r="H97" s="1354">
        <f>SUMIF('D-2 Off-Site Habitat Creation'!$AF$11:$AF$256,'Off-site gain site summary'!B97,'D-2 Off-Site Habitat Creation'!$AB$11:$AB$256)</f>
        <v>0</v>
      </c>
      <c r="I97" s="1355"/>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56"/>
      <c r="AF97" s="1356"/>
    </row>
    <row r="98" spans="1:32" x14ac:dyDescent="0.3">
      <c r="A98" s="757">
        <f>'D-1 Off-Site Habitat Baseline'!AF102</f>
        <v>0</v>
      </c>
      <c r="B98" s="764"/>
      <c r="C98" s="762">
        <f>SUMIF('D-1 Off-Site Habitat Baseline'!AF102:AF105,B98,'D-1 Off-Site Habitat Baseline'!T102:T105)</f>
        <v>0</v>
      </c>
      <c r="D98" s="1354">
        <f>SUMIF('D-1 Off-Site Habitat Baseline'!$AF$11:$AF$258,'Off-site gain site summary'!$B$7,'D-1 Off-Site Habitat Baseline'!$X$11:$X$258)</f>
        <v>0</v>
      </c>
      <c r="E98" s="1355"/>
      <c r="F98" s="1354">
        <f>SUMIF('D-3 Off-Site Habitat Enhancment'!$AU$12:$AU$258,'Off-site gain site summary'!B98,'D-3 Off-Site Habitat Enhancment'!$AQ$12:$AQ$258)</f>
        <v>0</v>
      </c>
      <c r="G98" s="1355"/>
      <c r="H98" s="1354">
        <f>SUMIF('D-2 Off-Site Habitat Creation'!$AF$11:$AF$256,'Off-site gain site summary'!B98,'D-2 Off-Site Habitat Creation'!$AB$11:$AB$256)</f>
        <v>0</v>
      </c>
      <c r="I98" s="1355"/>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56"/>
      <c r="AF98" s="1356"/>
    </row>
    <row r="99" spans="1:32" x14ac:dyDescent="0.3">
      <c r="A99" s="757">
        <f>'D-1 Off-Site Habitat Baseline'!AF103</f>
        <v>0</v>
      </c>
      <c r="B99" s="764"/>
      <c r="C99" s="762">
        <f>SUMIF('D-1 Off-Site Habitat Baseline'!AF103:AF106,B99,'D-1 Off-Site Habitat Baseline'!T103:T106)</f>
        <v>0</v>
      </c>
      <c r="D99" s="1354">
        <f>SUMIF('D-1 Off-Site Habitat Baseline'!$AF$11:$AF$258,'Off-site gain site summary'!$B$7,'D-1 Off-Site Habitat Baseline'!$X$11:$X$258)</f>
        <v>0</v>
      </c>
      <c r="E99" s="1355"/>
      <c r="F99" s="1354">
        <f>SUMIF('D-3 Off-Site Habitat Enhancment'!$AU$12:$AU$258,'Off-site gain site summary'!B99,'D-3 Off-Site Habitat Enhancment'!$AQ$12:$AQ$258)</f>
        <v>0</v>
      </c>
      <c r="G99" s="1355"/>
      <c r="H99" s="1354">
        <f>SUMIF('D-2 Off-Site Habitat Creation'!$AF$11:$AF$256,'Off-site gain site summary'!B99,'D-2 Off-Site Habitat Creation'!$AB$11:$AB$256)</f>
        <v>0</v>
      </c>
      <c r="I99" s="1355"/>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56"/>
      <c r="AF99" s="1356"/>
    </row>
    <row r="100" spans="1:32" x14ac:dyDescent="0.3">
      <c r="A100" s="757">
        <f>'D-1 Off-Site Habitat Baseline'!AF104</f>
        <v>0</v>
      </c>
      <c r="B100" s="764"/>
      <c r="C100" s="762">
        <f>SUMIF('D-1 Off-Site Habitat Baseline'!AF104:AF107,B100,'D-1 Off-Site Habitat Baseline'!T104:T107)</f>
        <v>0</v>
      </c>
      <c r="D100" s="1354">
        <f>SUMIF('D-1 Off-Site Habitat Baseline'!$AF$11:$AF$258,'Off-site gain site summary'!$B$7,'D-1 Off-Site Habitat Baseline'!$X$11:$X$258)</f>
        <v>0</v>
      </c>
      <c r="E100" s="1355"/>
      <c r="F100" s="1354">
        <f>SUMIF('D-3 Off-Site Habitat Enhancment'!$AU$12:$AU$258,'Off-site gain site summary'!B100,'D-3 Off-Site Habitat Enhancment'!$AQ$12:$AQ$258)</f>
        <v>0</v>
      </c>
      <c r="G100" s="1355"/>
      <c r="H100" s="1354">
        <f>SUMIF('D-2 Off-Site Habitat Creation'!$AF$11:$AF$256,'Off-site gain site summary'!B100,'D-2 Off-Site Habitat Creation'!$AB$11:$AB$256)</f>
        <v>0</v>
      </c>
      <c r="I100" s="1355"/>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56"/>
      <c r="AF100" s="1356"/>
    </row>
    <row r="101" spans="1:32" x14ac:dyDescent="0.3">
      <c r="A101" s="757">
        <f>'D-1 Off-Site Habitat Baseline'!AF105</f>
        <v>0</v>
      </c>
      <c r="B101" s="764"/>
      <c r="C101" s="762">
        <f>SUMIF('D-1 Off-Site Habitat Baseline'!AF105:AF108,B101,'D-1 Off-Site Habitat Baseline'!T105:T108)</f>
        <v>0</v>
      </c>
      <c r="D101" s="1354">
        <f>SUMIF('D-1 Off-Site Habitat Baseline'!$AF$11:$AF$258,'Off-site gain site summary'!$B$7,'D-1 Off-Site Habitat Baseline'!$X$11:$X$258)</f>
        <v>0</v>
      </c>
      <c r="E101" s="1355"/>
      <c r="F101" s="1354">
        <f>SUMIF('D-3 Off-Site Habitat Enhancment'!$AU$12:$AU$258,'Off-site gain site summary'!B101,'D-3 Off-Site Habitat Enhancment'!$AQ$12:$AQ$258)</f>
        <v>0</v>
      </c>
      <c r="G101" s="1355"/>
      <c r="H101" s="1354">
        <f>SUMIF('D-2 Off-Site Habitat Creation'!$AF$11:$AF$256,'Off-site gain site summary'!B101,'D-2 Off-Site Habitat Creation'!$AB$11:$AB$256)</f>
        <v>0</v>
      </c>
      <c r="I101" s="1355"/>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56"/>
      <c r="AF101" s="1356"/>
    </row>
    <row r="102" spans="1:32" x14ac:dyDescent="0.3">
      <c r="A102" s="757">
        <f>'D-1 Off-Site Habitat Baseline'!AF106</f>
        <v>0</v>
      </c>
      <c r="B102" s="764"/>
      <c r="C102" s="762">
        <f>SUMIF('D-1 Off-Site Habitat Baseline'!AF106:AF109,B102,'D-1 Off-Site Habitat Baseline'!T106:T109)</f>
        <v>0</v>
      </c>
      <c r="D102" s="1354">
        <f>SUMIF('D-1 Off-Site Habitat Baseline'!$AF$11:$AF$258,'Off-site gain site summary'!$B$7,'D-1 Off-Site Habitat Baseline'!$X$11:$X$258)</f>
        <v>0</v>
      </c>
      <c r="E102" s="1355"/>
      <c r="F102" s="1354">
        <f>SUMIF('D-3 Off-Site Habitat Enhancment'!$AU$12:$AU$258,'Off-site gain site summary'!B102,'D-3 Off-Site Habitat Enhancment'!$AQ$12:$AQ$258)</f>
        <v>0</v>
      </c>
      <c r="G102" s="1355"/>
      <c r="H102" s="1354">
        <f>SUMIF('D-2 Off-Site Habitat Creation'!$AF$11:$AF$256,'Off-site gain site summary'!B102,'D-2 Off-Site Habitat Creation'!$AB$11:$AB$256)</f>
        <v>0</v>
      </c>
      <c r="I102" s="1355"/>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56"/>
      <c r="AF102" s="1356"/>
    </row>
    <row r="103" spans="1:32" x14ac:dyDescent="0.3">
      <c r="A103" s="757">
        <f>'D-1 Off-Site Habitat Baseline'!AF107</f>
        <v>0</v>
      </c>
      <c r="B103" s="764"/>
      <c r="C103" s="762">
        <f>SUMIF('D-1 Off-Site Habitat Baseline'!AF107:AF110,B103,'D-1 Off-Site Habitat Baseline'!T107:T110)</f>
        <v>0</v>
      </c>
      <c r="D103" s="1354">
        <f>SUMIF('D-1 Off-Site Habitat Baseline'!$AF$11:$AF$258,'Off-site gain site summary'!$B$7,'D-1 Off-Site Habitat Baseline'!$X$11:$X$258)</f>
        <v>0</v>
      </c>
      <c r="E103" s="1355"/>
      <c r="F103" s="1354">
        <f>SUMIF('D-3 Off-Site Habitat Enhancment'!$AU$12:$AU$258,'Off-site gain site summary'!B103,'D-3 Off-Site Habitat Enhancment'!$AQ$12:$AQ$258)</f>
        <v>0</v>
      </c>
      <c r="G103" s="1355"/>
      <c r="H103" s="1354">
        <f>SUMIF('D-2 Off-Site Habitat Creation'!$AF$11:$AF$256,'Off-site gain site summary'!B103,'D-2 Off-Site Habitat Creation'!$AB$11:$AB$256)</f>
        <v>0</v>
      </c>
      <c r="I103" s="1355"/>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56"/>
      <c r="AF103" s="1356"/>
    </row>
    <row r="104" spans="1:32" x14ac:dyDescent="0.3">
      <c r="A104" s="757">
        <f>'D-1 Off-Site Habitat Baseline'!AF108</f>
        <v>0</v>
      </c>
      <c r="B104" s="764"/>
      <c r="C104" s="762">
        <f>SUMIF('D-1 Off-Site Habitat Baseline'!AF108:AF111,B104,'D-1 Off-Site Habitat Baseline'!T108:T111)</f>
        <v>0</v>
      </c>
      <c r="D104" s="1354">
        <f>SUMIF('D-1 Off-Site Habitat Baseline'!$AF$11:$AF$258,'Off-site gain site summary'!$B$7,'D-1 Off-Site Habitat Baseline'!$X$11:$X$258)</f>
        <v>0</v>
      </c>
      <c r="E104" s="1355"/>
      <c r="F104" s="1354">
        <f>SUMIF('D-3 Off-Site Habitat Enhancment'!$AU$12:$AU$258,'Off-site gain site summary'!B104,'D-3 Off-Site Habitat Enhancment'!$AQ$12:$AQ$258)</f>
        <v>0</v>
      </c>
      <c r="G104" s="1355"/>
      <c r="H104" s="1354">
        <f>SUMIF('D-2 Off-Site Habitat Creation'!$AF$11:$AF$256,'Off-site gain site summary'!B104,'D-2 Off-Site Habitat Creation'!$AB$11:$AB$256)</f>
        <v>0</v>
      </c>
      <c r="I104" s="1355"/>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56"/>
      <c r="AF104" s="1356"/>
    </row>
    <row r="105" spans="1:32" x14ac:dyDescent="0.3">
      <c r="A105" s="757">
        <f>'D-1 Off-Site Habitat Baseline'!AF109</f>
        <v>0</v>
      </c>
      <c r="B105" s="764"/>
      <c r="C105" s="762">
        <f>SUMIF('D-1 Off-Site Habitat Baseline'!AF109:AF112,B105,'D-1 Off-Site Habitat Baseline'!T109:T112)</f>
        <v>0</v>
      </c>
      <c r="D105" s="1354">
        <f>SUMIF('D-1 Off-Site Habitat Baseline'!$AF$11:$AF$258,'Off-site gain site summary'!$B$7,'D-1 Off-Site Habitat Baseline'!$X$11:$X$258)</f>
        <v>0</v>
      </c>
      <c r="E105" s="1355"/>
      <c r="F105" s="1354">
        <f>SUMIF('D-3 Off-Site Habitat Enhancment'!$AU$12:$AU$258,'Off-site gain site summary'!B105,'D-3 Off-Site Habitat Enhancment'!$AQ$12:$AQ$258)</f>
        <v>0</v>
      </c>
      <c r="G105" s="1355"/>
      <c r="H105" s="1354">
        <f>SUMIF('D-2 Off-Site Habitat Creation'!$AF$11:$AF$256,'Off-site gain site summary'!B105,'D-2 Off-Site Habitat Creation'!$AB$11:$AB$256)</f>
        <v>0</v>
      </c>
      <c r="I105" s="1355"/>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56"/>
      <c r="AF105" s="1356"/>
    </row>
    <row r="106" spans="1:32" x14ac:dyDescent="0.3">
      <c r="A106" s="757">
        <f>'D-1 Off-Site Habitat Baseline'!AF110</f>
        <v>0</v>
      </c>
      <c r="B106" s="764"/>
      <c r="C106" s="762">
        <f>SUMIF('D-1 Off-Site Habitat Baseline'!AF110:AF113,B106,'D-1 Off-Site Habitat Baseline'!T110:T113)</f>
        <v>0</v>
      </c>
      <c r="D106" s="1354">
        <f>SUMIF('D-1 Off-Site Habitat Baseline'!$AF$11:$AF$258,'Off-site gain site summary'!$B$7,'D-1 Off-Site Habitat Baseline'!$X$11:$X$258)</f>
        <v>0</v>
      </c>
      <c r="E106" s="1355"/>
      <c r="F106" s="1354">
        <f>SUMIF('D-3 Off-Site Habitat Enhancment'!$AU$12:$AU$258,'Off-site gain site summary'!B106,'D-3 Off-Site Habitat Enhancment'!$AQ$12:$AQ$258)</f>
        <v>0</v>
      </c>
      <c r="G106" s="1355"/>
      <c r="H106" s="1354">
        <f>SUMIF('D-2 Off-Site Habitat Creation'!$AF$11:$AF$256,'Off-site gain site summary'!B106,'D-2 Off-Site Habitat Creation'!$AB$11:$AB$256)</f>
        <v>0</v>
      </c>
      <c r="I106" s="1355"/>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56"/>
      <c r="AF106" s="1356"/>
    </row>
    <row r="107" spans="1:32" ht="15" thickBot="1" x14ac:dyDescent="0.35">
      <c r="A107" s="757">
        <f>'D-1 Off-Site Habitat Baseline'!AF111</f>
        <v>0</v>
      </c>
      <c r="B107" s="767"/>
      <c r="C107" s="768">
        <f>SUMIF('D-1 Off-Site Habitat Baseline'!AF111:AF114,B107,'D-1 Off-Site Habitat Baseline'!T111:T114)</f>
        <v>0</v>
      </c>
      <c r="D107" s="1401">
        <f>SUMIF('D-1 Off-Site Habitat Baseline'!$AF$11:$AF$258,'Off-site gain site summary'!$B$7,'D-1 Off-Site Habitat Baseline'!$X$11:$X$258)</f>
        <v>0</v>
      </c>
      <c r="E107" s="1402"/>
      <c r="F107" s="1401">
        <f>SUMIF('D-3 Off-Site Habitat Enhancment'!$AU$12:$AU$258,'Off-site gain site summary'!B107,'D-3 Off-Site Habitat Enhancment'!$AQ$12:$AQ$258)</f>
        <v>0</v>
      </c>
      <c r="G107" s="1402"/>
      <c r="H107" s="1401">
        <f>SUMIF('D-2 Off-Site Habitat Creation'!$AF$11:$AF$256,'Off-site gain site summary'!B107,'D-2 Off-Site Habitat Creation'!$AB$11:$AB$256)</f>
        <v>0</v>
      </c>
      <c r="I107" s="1402"/>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56"/>
      <c r="AF107" s="1356"/>
    </row>
    <row r="108" spans="1:32" ht="15" thickBot="1" x14ac:dyDescent="0.35">
      <c r="A108" s="757">
        <f>'D-1 Off-Site Habitat Baseline'!AF112</f>
        <v>0</v>
      </c>
      <c r="B108" s="1397"/>
      <c r="C108" s="1398"/>
      <c r="D108" s="1398"/>
      <c r="E108" s="1398"/>
      <c r="F108" s="1398"/>
      <c r="G108" s="1398"/>
      <c r="H108" s="1398"/>
      <c r="I108" s="1398"/>
      <c r="J108" s="1398"/>
      <c r="K108" s="1398"/>
      <c r="L108" s="1403"/>
      <c r="M108" s="757">
        <f>'E-1 Off-Site Hedge Baseline'!AB111</f>
        <v>0</v>
      </c>
      <c r="N108" s="775"/>
      <c r="O108" s="776"/>
      <c r="P108" s="776"/>
      <c r="Q108" s="776"/>
      <c r="R108" s="776"/>
      <c r="S108" s="776"/>
      <c r="T108" s="776"/>
      <c r="U108" s="777"/>
      <c r="V108" s="1">
        <f>'F-1 Off-Site WaterC'' Baseline'!AG111</f>
        <v>0</v>
      </c>
      <c r="W108" s="1397"/>
      <c r="X108" s="1398"/>
      <c r="Y108" s="1398"/>
      <c r="Z108" s="1398"/>
      <c r="AA108" s="1398"/>
      <c r="AB108" s="1398"/>
      <c r="AC108" s="1398"/>
      <c r="AD108" s="1398"/>
    </row>
    <row r="109" spans="1:32" x14ac:dyDescent="0.3">
      <c r="A109" s="757">
        <f>'D-1 Off-Site Habitat Baseline'!AF113</f>
        <v>0</v>
      </c>
      <c r="M109" s="757">
        <f>'E-1 Off-Site Hedge Baseline'!AB112</f>
        <v>0</v>
      </c>
      <c r="V109" s="1">
        <f>'F-1 Off-Site WaterC'' Baseline'!AG112</f>
        <v>0</v>
      </c>
    </row>
    <row r="110" spans="1:32" x14ac:dyDescent="0.3">
      <c r="A110" s="757">
        <f>'D-1 Off-Site Habitat Baseline'!AF114</f>
        <v>0</v>
      </c>
      <c r="M110" s="757">
        <f>'E-1 Off-Site Hedge Baseline'!AB113</f>
        <v>0</v>
      </c>
      <c r="V110" s="1">
        <f>'F-1 Off-Site WaterC'' Baseline'!AG113</f>
        <v>0</v>
      </c>
    </row>
    <row r="111" spans="1:32" x14ac:dyDescent="0.3">
      <c r="A111" s="757">
        <f>'D-1 Off-Site Habitat Baseline'!AF115</f>
        <v>0</v>
      </c>
      <c r="M111" s="757">
        <f>'E-1 Off-Site Hedge Baseline'!AB114</f>
        <v>0</v>
      </c>
      <c r="V111" s="1">
        <f>'F-1 Off-Site WaterC'' Baseline'!AG114</f>
        <v>0</v>
      </c>
    </row>
    <row r="112" spans="1:32" x14ac:dyDescent="0.3">
      <c r="A112" s="757">
        <f>'D-1 Off-Site Habitat Baseline'!AF116</f>
        <v>0</v>
      </c>
      <c r="M112" s="757">
        <f>'E-1 Off-Site Hedge Baseline'!AB115</f>
        <v>0</v>
      </c>
      <c r="V112" s="1">
        <f>'F-1 Off-Site WaterC'' Baseline'!AG115</f>
        <v>0</v>
      </c>
    </row>
    <row r="113" spans="1:22" x14ac:dyDescent="0.3">
      <c r="A113" s="757">
        <f>'D-1 Off-Site Habitat Baseline'!AF117</f>
        <v>0</v>
      </c>
      <c r="M113" s="757">
        <f>'E-1 Off-Site Hedge Baseline'!AB116</f>
        <v>0</v>
      </c>
      <c r="V113" s="1">
        <f>'F-1 Off-Site WaterC'' Baseline'!AG116</f>
        <v>0</v>
      </c>
    </row>
    <row r="114" spans="1:22" x14ac:dyDescent="0.3">
      <c r="A114" s="757">
        <f>'D-1 Off-Site Habitat Baseline'!AF118</f>
        <v>0</v>
      </c>
      <c r="M114" s="757">
        <f>'E-1 Off-Site Hedge Baseline'!AB117</f>
        <v>0</v>
      </c>
      <c r="V114" s="1">
        <f>'F-1 Off-Site WaterC'' Baseline'!AG117</f>
        <v>0</v>
      </c>
    </row>
    <row r="115" spans="1:22" x14ac:dyDescent="0.3">
      <c r="A115" s="757">
        <f>'D-1 Off-Site Habitat Baseline'!AF119</f>
        <v>0</v>
      </c>
      <c r="M115" s="757">
        <f>'E-1 Off-Site Hedge Baseline'!AB118</f>
        <v>0</v>
      </c>
      <c r="V115" s="1">
        <f>'F-1 Off-Site WaterC'' Baseline'!AG118</f>
        <v>0</v>
      </c>
    </row>
    <row r="116" spans="1:22" x14ac:dyDescent="0.3">
      <c r="A116" s="757">
        <f>'D-1 Off-Site Habitat Baseline'!AF120</f>
        <v>0</v>
      </c>
      <c r="M116" s="757">
        <f>'E-1 Off-Site Hedge Baseline'!AB119</f>
        <v>0</v>
      </c>
      <c r="V116" s="1">
        <f>'F-1 Off-Site WaterC'' Baseline'!AG119</f>
        <v>0</v>
      </c>
    </row>
    <row r="117" spans="1:22" x14ac:dyDescent="0.3">
      <c r="A117" s="757">
        <f>'D-1 Off-Site Habitat Baseline'!AF121</f>
        <v>0</v>
      </c>
      <c r="M117" s="757">
        <f>'E-1 Off-Site Hedge Baseline'!AB120</f>
        <v>0</v>
      </c>
      <c r="V117" s="1">
        <f>'F-1 Off-Site WaterC'' Baseline'!AG120</f>
        <v>0</v>
      </c>
    </row>
    <row r="118" spans="1:22" x14ac:dyDescent="0.3">
      <c r="A118" s="757">
        <f>'D-1 Off-Site Habitat Baseline'!AF122</f>
        <v>0</v>
      </c>
      <c r="M118" s="757">
        <f>'E-1 Off-Site Hedge Baseline'!AB121</f>
        <v>0</v>
      </c>
      <c r="V118" s="1">
        <f>'F-1 Off-Site WaterC'' Baseline'!AG121</f>
        <v>0</v>
      </c>
    </row>
    <row r="119" spans="1:22" x14ac:dyDescent="0.3">
      <c r="A119" s="757">
        <f>'D-1 Off-Site Habitat Baseline'!AF123</f>
        <v>0</v>
      </c>
      <c r="M119" s="757">
        <f>'E-1 Off-Site Hedge Baseline'!AB122</f>
        <v>0</v>
      </c>
      <c r="V119" s="1">
        <f>'F-1 Off-Site WaterC'' Baseline'!AG122</f>
        <v>0</v>
      </c>
    </row>
    <row r="120" spans="1:22" x14ac:dyDescent="0.3">
      <c r="A120" s="757">
        <f>'D-1 Off-Site Habitat Baseline'!AF124</f>
        <v>0</v>
      </c>
      <c r="M120" s="757">
        <f>'E-1 Off-Site Hedge Baseline'!AB123</f>
        <v>0</v>
      </c>
      <c r="V120" s="1">
        <f>'F-1 Off-Site WaterC'' Baseline'!AG123</f>
        <v>0</v>
      </c>
    </row>
    <row r="121" spans="1:22" x14ac:dyDescent="0.3">
      <c r="A121" s="757">
        <f>'D-1 Off-Site Habitat Baseline'!AF125</f>
        <v>0</v>
      </c>
      <c r="M121" s="757">
        <f>'E-1 Off-Site Hedge Baseline'!AB124</f>
        <v>0</v>
      </c>
      <c r="V121" s="1">
        <f>'F-1 Off-Site WaterC'' Baseline'!AG124</f>
        <v>0</v>
      </c>
    </row>
    <row r="122" spans="1:22" x14ac:dyDescent="0.3">
      <c r="A122" s="757">
        <f>'D-1 Off-Site Habitat Baseline'!AF126</f>
        <v>0</v>
      </c>
      <c r="M122" s="757">
        <f>'E-1 Off-Site Hedge Baseline'!AB125</f>
        <v>0</v>
      </c>
      <c r="V122" s="1">
        <f>'F-1 Off-Site WaterC'' Baseline'!AG125</f>
        <v>0</v>
      </c>
    </row>
    <row r="123" spans="1:22" x14ac:dyDescent="0.3">
      <c r="A123" s="757">
        <f>'D-1 Off-Site Habitat Baseline'!AF127</f>
        <v>0</v>
      </c>
      <c r="M123" s="757">
        <f>'E-1 Off-Site Hedge Baseline'!AB126</f>
        <v>0</v>
      </c>
      <c r="V123" s="1">
        <f>'F-1 Off-Site WaterC'' Baseline'!AG126</f>
        <v>0</v>
      </c>
    </row>
    <row r="124" spans="1:22" x14ac:dyDescent="0.3">
      <c r="A124" s="757">
        <f>'D-1 Off-Site Habitat Baseline'!AF128</f>
        <v>0</v>
      </c>
      <c r="M124" s="757">
        <f>'E-1 Off-Site Hedge Baseline'!AB127</f>
        <v>0</v>
      </c>
      <c r="V124" s="1">
        <f>'F-1 Off-Site WaterC'' Baseline'!AG127</f>
        <v>0</v>
      </c>
    </row>
    <row r="125" spans="1:22" x14ac:dyDescent="0.3">
      <c r="A125" s="757">
        <f>'D-1 Off-Site Habitat Baseline'!AF129</f>
        <v>0</v>
      </c>
      <c r="M125" s="757">
        <f>'E-1 Off-Site Hedge Baseline'!AB128</f>
        <v>0</v>
      </c>
      <c r="V125" s="1">
        <f>'F-1 Off-Site WaterC'' Baseline'!AG128</f>
        <v>0</v>
      </c>
    </row>
    <row r="126" spans="1:22" x14ac:dyDescent="0.3">
      <c r="A126" s="757">
        <f>'D-1 Off-Site Habitat Baseline'!AF130</f>
        <v>0</v>
      </c>
      <c r="M126" s="757">
        <f>'E-1 Off-Site Hedge Baseline'!AB129</f>
        <v>0</v>
      </c>
      <c r="V126" s="1">
        <f>'F-1 Off-Site WaterC'' Baseline'!AG129</f>
        <v>0</v>
      </c>
    </row>
    <row r="127" spans="1:22" x14ac:dyDescent="0.3">
      <c r="A127" s="757">
        <f>'D-1 Off-Site Habitat Baseline'!AF131</f>
        <v>0</v>
      </c>
      <c r="M127" s="757">
        <f>'E-1 Off-Site Hedge Baseline'!AB130</f>
        <v>0</v>
      </c>
      <c r="V127" s="1">
        <f>'F-1 Off-Site WaterC'' Baseline'!AG130</f>
        <v>0</v>
      </c>
    </row>
    <row r="128" spans="1:22" x14ac:dyDescent="0.3">
      <c r="A128" s="757">
        <f>'D-1 Off-Site Habitat Baseline'!AF132</f>
        <v>0</v>
      </c>
      <c r="M128" s="757">
        <f>'E-1 Off-Site Hedge Baseline'!AB131</f>
        <v>0</v>
      </c>
      <c r="V128" s="1">
        <f>'F-1 Off-Site WaterC'' Baseline'!AG131</f>
        <v>0</v>
      </c>
    </row>
    <row r="129" spans="1:22" x14ac:dyDescent="0.3">
      <c r="A129" s="757">
        <f>'D-1 Off-Site Habitat Baseline'!AF133</f>
        <v>0</v>
      </c>
      <c r="M129" s="757">
        <f>'E-1 Off-Site Hedge Baseline'!AB132</f>
        <v>0</v>
      </c>
      <c r="V129" s="1">
        <f>'F-1 Off-Site WaterC'' Baseline'!AG132</f>
        <v>0</v>
      </c>
    </row>
    <row r="130" spans="1:22" x14ac:dyDescent="0.3">
      <c r="A130" s="757">
        <f>'D-1 Off-Site Habitat Baseline'!AF134</f>
        <v>0</v>
      </c>
      <c r="M130" s="757">
        <f>'E-1 Off-Site Hedge Baseline'!AB133</f>
        <v>0</v>
      </c>
      <c r="V130" s="1">
        <f>'F-1 Off-Site WaterC'' Baseline'!AG133</f>
        <v>0</v>
      </c>
    </row>
    <row r="131" spans="1:22" x14ac:dyDescent="0.3">
      <c r="A131" s="757">
        <f>'D-1 Off-Site Habitat Baseline'!AF135</f>
        <v>0</v>
      </c>
      <c r="M131" s="757">
        <f>'E-1 Off-Site Hedge Baseline'!AB134</f>
        <v>0</v>
      </c>
      <c r="V131" s="1">
        <f>'F-1 Off-Site WaterC'' Baseline'!AG134</f>
        <v>0</v>
      </c>
    </row>
    <row r="132" spans="1:22" x14ac:dyDescent="0.3">
      <c r="A132" s="757">
        <f>'D-1 Off-Site Habitat Baseline'!AF136</f>
        <v>0</v>
      </c>
      <c r="M132" s="757">
        <f>'E-1 Off-Site Hedge Baseline'!AB135</f>
        <v>0</v>
      </c>
      <c r="V132" s="1">
        <f>'F-1 Off-Site WaterC'' Baseline'!AG135</f>
        <v>0</v>
      </c>
    </row>
    <row r="133" spans="1:22" x14ac:dyDescent="0.3">
      <c r="A133" s="757">
        <f>'D-1 Off-Site Habitat Baseline'!AF137</f>
        <v>0</v>
      </c>
      <c r="M133" s="757">
        <f>'E-1 Off-Site Hedge Baseline'!AB136</f>
        <v>0</v>
      </c>
      <c r="V133" s="1">
        <f>'F-1 Off-Site WaterC'' Baseline'!AG136</f>
        <v>0</v>
      </c>
    </row>
    <row r="134" spans="1:22" x14ac:dyDescent="0.3">
      <c r="A134" s="757">
        <f>'D-1 Off-Site Habitat Baseline'!AF138</f>
        <v>0</v>
      </c>
      <c r="M134" s="757">
        <f>'E-1 Off-Site Hedge Baseline'!AB137</f>
        <v>0</v>
      </c>
      <c r="V134" s="1">
        <f>'F-1 Off-Site WaterC'' Baseline'!AG137</f>
        <v>0</v>
      </c>
    </row>
    <row r="135" spans="1:22" x14ac:dyDescent="0.3">
      <c r="A135" s="757">
        <f>'D-1 Off-Site Habitat Baseline'!AF139</f>
        <v>0</v>
      </c>
      <c r="M135" s="757">
        <f>'E-1 Off-Site Hedge Baseline'!AB138</f>
        <v>0</v>
      </c>
      <c r="V135" s="1">
        <f>'F-1 Off-Site WaterC'' Baseline'!AG138</f>
        <v>0</v>
      </c>
    </row>
    <row r="136" spans="1:22" x14ac:dyDescent="0.3">
      <c r="A136" s="757">
        <f>'D-1 Off-Site Habitat Baseline'!AF140</f>
        <v>0</v>
      </c>
      <c r="M136" s="757">
        <f>'E-1 Off-Site Hedge Baseline'!AB139</f>
        <v>0</v>
      </c>
      <c r="V136" s="1">
        <f>'F-1 Off-Site WaterC'' Baseline'!AG139</f>
        <v>0</v>
      </c>
    </row>
    <row r="137" spans="1:22" x14ac:dyDescent="0.3">
      <c r="A137" s="757">
        <f>'D-1 Off-Site Habitat Baseline'!AF141</f>
        <v>0</v>
      </c>
      <c r="M137" s="757">
        <f>'E-1 Off-Site Hedge Baseline'!AB140</f>
        <v>0</v>
      </c>
      <c r="V137" s="1">
        <f>'F-1 Off-Site WaterC'' Baseline'!AG140</f>
        <v>0</v>
      </c>
    </row>
    <row r="138" spans="1:22" x14ac:dyDescent="0.3">
      <c r="A138" s="757">
        <f>'D-1 Off-Site Habitat Baseline'!AF142</f>
        <v>0</v>
      </c>
      <c r="M138" s="757">
        <f>'E-1 Off-Site Hedge Baseline'!AB141</f>
        <v>0</v>
      </c>
      <c r="V138" s="1">
        <f>'F-1 Off-Site WaterC'' Baseline'!AG141</f>
        <v>0</v>
      </c>
    </row>
    <row r="139" spans="1:22" x14ac:dyDescent="0.3">
      <c r="A139" s="757">
        <f>'D-1 Off-Site Habitat Baseline'!AF143</f>
        <v>0</v>
      </c>
      <c r="M139" s="757">
        <f>'E-1 Off-Site Hedge Baseline'!AB142</f>
        <v>0</v>
      </c>
      <c r="V139" s="1">
        <f>'F-1 Off-Site WaterC'' Baseline'!AG142</f>
        <v>0</v>
      </c>
    </row>
    <row r="140" spans="1:22" x14ac:dyDescent="0.3">
      <c r="A140" s="757">
        <f>'D-1 Off-Site Habitat Baseline'!AF144</f>
        <v>0</v>
      </c>
      <c r="M140" s="757">
        <f>'E-1 Off-Site Hedge Baseline'!AB143</f>
        <v>0</v>
      </c>
      <c r="V140" s="1">
        <f>'F-1 Off-Site WaterC'' Baseline'!AG143</f>
        <v>0</v>
      </c>
    </row>
    <row r="141" spans="1:22" x14ac:dyDescent="0.3">
      <c r="A141" s="757">
        <f>'D-1 Off-Site Habitat Baseline'!AF145</f>
        <v>0</v>
      </c>
      <c r="M141" s="757">
        <f>'E-1 Off-Site Hedge Baseline'!AB144</f>
        <v>0</v>
      </c>
      <c r="V141" s="1">
        <f>'F-1 Off-Site WaterC'' Baseline'!AG144</f>
        <v>0</v>
      </c>
    </row>
    <row r="142" spans="1:22" x14ac:dyDescent="0.3">
      <c r="A142" s="757">
        <f>'D-1 Off-Site Habitat Baseline'!AF146</f>
        <v>0</v>
      </c>
      <c r="M142" s="757">
        <f>'E-1 Off-Site Hedge Baseline'!AB145</f>
        <v>0</v>
      </c>
      <c r="V142" s="1">
        <f>'F-1 Off-Site WaterC'' Baseline'!AG145</f>
        <v>0</v>
      </c>
    </row>
    <row r="143" spans="1:22" x14ac:dyDescent="0.3">
      <c r="A143" s="757">
        <f>'D-1 Off-Site Habitat Baseline'!AF147</f>
        <v>0</v>
      </c>
      <c r="M143" s="757">
        <f>'E-1 Off-Site Hedge Baseline'!AB146</f>
        <v>0</v>
      </c>
      <c r="V143" s="1">
        <f>'F-1 Off-Site WaterC'' Baseline'!AG146</f>
        <v>0</v>
      </c>
    </row>
    <row r="144" spans="1:22" x14ac:dyDescent="0.3">
      <c r="A144" s="757">
        <f>'D-1 Off-Site Habitat Baseline'!AF148</f>
        <v>0</v>
      </c>
      <c r="M144" s="757">
        <f>'E-1 Off-Site Hedge Baseline'!AB147</f>
        <v>0</v>
      </c>
      <c r="V144" s="1">
        <f>'F-1 Off-Site WaterC'' Baseline'!AG147</f>
        <v>0</v>
      </c>
    </row>
    <row r="145" spans="1:22" x14ac:dyDescent="0.3">
      <c r="A145" s="757">
        <f>'D-1 Off-Site Habitat Baseline'!AF149</f>
        <v>0</v>
      </c>
      <c r="M145" s="757">
        <f>'E-1 Off-Site Hedge Baseline'!AB148</f>
        <v>0</v>
      </c>
      <c r="V145" s="1">
        <f>'F-1 Off-Site WaterC'' Baseline'!AG148</f>
        <v>0</v>
      </c>
    </row>
    <row r="146" spans="1:22" x14ac:dyDescent="0.3">
      <c r="A146" s="757">
        <f>'D-1 Off-Site Habitat Baseline'!AF150</f>
        <v>0</v>
      </c>
      <c r="M146" s="757">
        <f>'E-1 Off-Site Hedge Baseline'!AB149</f>
        <v>0</v>
      </c>
      <c r="V146" s="1">
        <f>'F-1 Off-Site WaterC'' Baseline'!AG149</f>
        <v>0</v>
      </c>
    </row>
    <row r="147" spans="1:22" x14ac:dyDescent="0.3">
      <c r="A147" s="757">
        <f>'D-1 Off-Site Habitat Baseline'!AF151</f>
        <v>0</v>
      </c>
      <c r="M147" s="757">
        <f>'E-1 Off-Site Hedge Baseline'!AB150</f>
        <v>0</v>
      </c>
      <c r="V147" s="1">
        <f>'F-1 Off-Site WaterC'' Baseline'!AG150</f>
        <v>0</v>
      </c>
    </row>
    <row r="148" spans="1:22" x14ac:dyDescent="0.3">
      <c r="A148" s="757">
        <f>'D-1 Off-Site Habitat Baseline'!AF152</f>
        <v>0</v>
      </c>
      <c r="M148" s="757">
        <f>'E-1 Off-Site Hedge Baseline'!AB151</f>
        <v>0</v>
      </c>
      <c r="V148" s="1">
        <f>'F-1 Off-Site WaterC'' Baseline'!AG151</f>
        <v>0</v>
      </c>
    </row>
    <row r="149" spans="1:22" x14ac:dyDescent="0.3">
      <c r="A149" s="757">
        <f>'D-1 Off-Site Habitat Baseline'!AF153</f>
        <v>0</v>
      </c>
      <c r="M149" s="757">
        <f>'E-1 Off-Site Hedge Baseline'!AB152</f>
        <v>0</v>
      </c>
      <c r="V149" s="1">
        <f>'F-1 Off-Site WaterC'' Baseline'!AG152</f>
        <v>0</v>
      </c>
    </row>
    <row r="150" spans="1:22" x14ac:dyDescent="0.3">
      <c r="A150" s="757">
        <f>'D-1 Off-Site Habitat Baseline'!AF154</f>
        <v>0</v>
      </c>
      <c r="M150" s="757">
        <f>'E-1 Off-Site Hedge Baseline'!AB153</f>
        <v>0</v>
      </c>
      <c r="V150" s="1">
        <f>'F-1 Off-Site WaterC'' Baseline'!AG153</f>
        <v>0</v>
      </c>
    </row>
    <row r="151" spans="1:22" x14ac:dyDescent="0.3">
      <c r="A151" s="757">
        <f>'D-1 Off-Site Habitat Baseline'!AF155</f>
        <v>0</v>
      </c>
      <c r="M151" s="757">
        <f>'E-1 Off-Site Hedge Baseline'!AB154</f>
        <v>0</v>
      </c>
      <c r="V151" s="1">
        <f>'F-1 Off-Site WaterC'' Baseline'!AG154</f>
        <v>0</v>
      </c>
    </row>
    <row r="152" spans="1:22" x14ac:dyDescent="0.3">
      <c r="A152" s="757">
        <f>'D-1 Off-Site Habitat Baseline'!AF156</f>
        <v>0</v>
      </c>
      <c r="M152" s="757">
        <f>'E-1 Off-Site Hedge Baseline'!AB155</f>
        <v>0</v>
      </c>
      <c r="V152" s="1">
        <f>'F-1 Off-Site WaterC'' Baseline'!AG155</f>
        <v>0</v>
      </c>
    </row>
    <row r="153" spans="1:22" x14ac:dyDescent="0.3">
      <c r="A153" s="757">
        <f>'D-1 Off-Site Habitat Baseline'!AF157</f>
        <v>0</v>
      </c>
      <c r="M153" s="757">
        <f>'E-1 Off-Site Hedge Baseline'!AB156</f>
        <v>0</v>
      </c>
      <c r="V153" s="1">
        <f>'F-1 Off-Site WaterC'' Baseline'!AG156</f>
        <v>0</v>
      </c>
    </row>
    <row r="154" spans="1:22" x14ac:dyDescent="0.3">
      <c r="A154" s="757">
        <f>'D-1 Off-Site Habitat Baseline'!AF158</f>
        <v>0</v>
      </c>
      <c r="M154" s="757">
        <f>'E-1 Off-Site Hedge Baseline'!AB157</f>
        <v>0</v>
      </c>
      <c r="V154" s="1">
        <f>'F-1 Off-Site WaterC'' Baseline'!AG157</f>
        <v>0</v>
      </c>
    </row>
    <row r="155" spans="1:22" x14ac:dyDescent="0.3">
      <c r="A155" s="757">
        <f>'D-1 Off-Site Habitat Baseline'!AF159</f>
        <v>0</v>
      </c>
      <c r="M155" s="757">
        <f>'E-1 Off-Site Hedge Baseline'!AB158</f>
        <v>0</v>
      </c>
      <c r="V155" s="1">
        <f>'F-1 Off-Site WaterC'' Baseline'!AG158</f>
        <v>0</v>
      </c>
    </row>
    <row r="156" spans="1:22" x14ac:dyDescent="0.3">
      <c r="A156" s="757">
        <f>'D-1 Off-Site Habitat Baseline'!AF160</f>
        <v>0</v>
      </c>
      <c r="M156" s="757">
        <f>'E-1 Off-Site Hedge Baseline'!AB159</f>
        <v>0</v>
      </c>
      <c r="V156" s="1">
        <f>'F-1 Off-Site WaterC'' Baseline'!AG159</f>
        <v>0</v>
      </c>
    </row>
    <row r="157" spans="1:22" x14ac:dyDescent="0.3">
      <c r="A157" s="757">
        <f>'D-1 Off-Site Habitat Baseline'!AF161</f>
        <v>0</v>
      </c>
      <c r="M157" s="757">
        <f>'E-1 Off-Site Hedge Baseline'!AB160</f>
        <v>0</v>
      </c>
      <c r="V157" s="1">
        <f>'F-1 Off-Site WaterC'' Baseline'!AG160</f>
        <v>0</v>
      </c>
    </row>
    <row r="158" spans="1:22" x14ac:dyDescent="0.3">
      <c r="A158" s="757">
        <f>'D-1 Off-Site Habitat Baseline'!AF162</f>
        <v>0</v>
      </c>
      <c r="M158" s="757">
        <f>'E-1 Off-Site Hedge Baseline'!AB161</f>
        <v>0</v>
      </c>
      <c r="V158" s="1">
        <f>'F-1 Off-Site WaterC'' Baseline'!AG161</f>
        <v>0</v>
      </c>
    </row>
    <row r="159" spans="1:22" x14ac:dyDescent="0.3">
      <c r="A159" s="757">
        <f>'D-1 Off-Site Habitat Baseline'!AF163</f>
        <v>0</v>
      </c>
      <c r="M159" s="757">
        <f>'E-1 Off-Site Hedge Baseline'!AB162</f>
        <v>0</v>
      </c>
      <c r="V159" s="1">
        <f>'F-1 Off-Site WaterC'' Baseline'!AG162</f>
        <v>0</v>
      </c>
    </row>
    <row r="160" spans="1:22" x14ac:dyDescent="0.3">
      <c r="A160" s="757">
        <f>'D-1 Off-Site Habitat Baseline'!AF164</f>
        <v>0</v>
      </c>
      <c r="M160" s="757">
        <f>'E-1 Off-Site Hedge Baseline'!AB163</f>
        <v>0</v>
      </c>
      <c r="V160" s="1">
        <f>'F-1 Off-Site WaterC'' Baseline'!AG163</f>
        <v>0</v>
      </c>
    </row>
    <row r="161" spans="1:22" x14ac:dyDescent="0.3">
      <c r="A161" s="757">
        <f>'D-1 Off-Site Habitat Baseline'!AF165</f>
        <v>0</v>
      </c>
      <c r="M161" s="757">
        <f>'E-1 Off-Site Hedge Baseline'!AB164</f>
        <v>0</v>
      </c>
      <c r="V161" s="1">
        <f>'F-1 Off-Site WaterC'' Baseline'!AG164</f>
        <v>0</v>
      </c>
    </row>
    <row r="162" spans="1:22" x14ac:dyDescent="0.3">
      <c r="A162" s="757">
        <f>'D-1 Off-Site Habitat Baseline'!AF166</f>
        <v>0</v>
      </c>
      <c r="M162" s="757">
        <f>'E-1 Off-Site Hedge Baseline'!AB165</f>
        <v>0</v>
      </c>
      <c r="V162" s="1">
        <f>'F-1 Off-Site WaterC'' Baseline'!AG165</f>
        <v>0</v>
      </c>
    </row>
    <row r="163" spans="1:22" x14ac:dyDescent="0.3">
      <c r="A163" s="757">
        <f>'D-1 Off-Site Habitat Baseline'!AF167</f>
        <v>0</v>
      </c>
      <c r="M163" s="757">
        <f>'E-1 Off-Site Hedge Baseline'!AB166</f>
        <v>0</v>
      </c>
      <c r="V163" s="1">
        <f>'F-1 Off-Site WaterC'' Baseline'!AG166</f>
        <v>0</v>
      </c>
    </row>
    <row r="164" spans="1:22" x14ac:dyDescent="0.3">
      <c r="A164" s="757">
        <f>'D-1 Off-Site Habitat Baseline'!AF168</f>
        <v>0</v>
      </c>
      <c r="M164" s="757">
        <f>'E-1 Off-Site Hedge Baseline'!AB167</f>
        <v>0</v>
      </c>
      <c r="V164" s="1">
        <f>'F-1 Off-Site WaterC'' Baseline'!AG167</f>
        <v>0</v>
      </c>
    </row>
    <row r="165" spans="1:22" x14ac:dyDescent="0.3">
      <c r="A165" s="757">
        <f>'D-1 Off-Site Habitat Baseline'!AF169</f>
        <v>0</v>
      </c>
      <c r="M165" s="757">
        <f>'E-1 Off-Site Hedge Baseline'!AB168</f>
        <v>0</v>
      </c>
      <c r="V165" s="1">
        <f>'F-1 Off-Site WaterC'' Baseline'!AG168</f>
        <v>0</v>
      </c>
    </row>
    <row r="166" spans="1:22" x14ac:dyDescent="0.3">
      <c r="A166" s="757">
        <f>'D-1 Off-Site Habitat Baseline'!AF170</f>
        <v>0</v>
      </c>
      <c r="M166" s="757">
        <f>'E-1 Off-Site Hedge Baseline'!AB169</f>
        <v>0</v>
      </c>
      <c r="V166" s="1">
        <f>'F-1 Off-Site WaterC'' Baseline'!AG169</f>
        <v>0</v>
      </c>
    </row>
    <row r="167" spans="1:22" x14ac:dyDescent="0.3">
      <c r="A167" s="757">
        <f>'D-1 Off-Site Habitat Baseline'!AF171</f>
        <v>0</v>
      </c>
      <c r="M167" s="757">
        <f>'E-1 Off-Site Hedge Baseline'!AB170</f>
        <v>0</v>
      </c>
      <c r="V167" s="1">
        <f>'F-1 Off-Site WaterC'' Baseline'!AG170</f>
        <v>0</v>
      </c>
    </row>
    <row r="168" spans="1:22" x14ac:dyDescent="0.3">
      <c r="A168" s="757">
        <f>'D-1 Off-Site Habitat Baseline'!AF172</f>
        <v>0</v>
      </c>
      <c r="M168" s="757">
        <f>'E-1 Off-Site Hedge Baseline'!AB171</f>
        <v>0</v>
      </c>
      <c r="V168" s="1">
        <f>'F-1 Off-Site WaterC'' Baseline'!AG171</f>
        <v>0</v>
      </c>
    </row>
    <row r="169" spans="1:22" x14ac:dyDescent="0.3">
      <c r="A169" s="757">
        <f>'D-1 Off-Site Habitat Baseline'!AF173</f>
        <v>0</v>
      </c>
      <c r="M169" s="757">
        <f>'E-1 Off-Site Hedge Baseline'!AB172</f>
        <v>0</v>
      </c>
      <c r="V169" s="1">
        <f>'F-1 Off-Site WaterC'' Baseline'!AG172</f>
        <v>0</v>
      </c>
    </row>
    <row r="170" spans="1:22" x14ac:dyDescent="0.3">
      <c r="A170" s="757">
        <f>'D-1 Off-Site Habitat Baseline'!AF174</f>
        <v>0</v>
      </c>
      <c r="M170" s="757">
        <f>'E-1 Off-Site Hedge Baseline'!AB173</f>
        <v>0</v>
      </c>
      <c r="V170" s="1">
        <f>'F-1 Off-Site WaterC'' Baseline'!AG173</f>
        <v>0</v>
      </c>
    </row>
    <row r="171" spans="1:22" x14ac:dyDescent="0.3">
      <c r="A171" s="757">
        <f>'D-1 Off-Site Habitat Baseline'!AF175</f>
        <v>0</v>
      </c>
      <c r="M171" s="757">
        <f>'E-1 Off-Site Hedge Baseline'!AB174</f>
        <v>0</v>
      </c>
      <c r="V171" s="1">
        <f>'F-1 Off-Site WaterC'' Baseline'!AG174</f>
        <v>0</v>
      </c>
    </row>
    <row r="172" spans="1:22" x14ac:dyDescent="0.3">
      <c r="A172" s="757">
        <f>'D-1 Off-Site Habitat Baseline'!AF176</f>
        <v>0</v>
      </c>
      <c r="M172" s="757">
        <f>'E-1 Off-Site Hedge Baseline'!AB175</f>
        <v>0</v>
      </c>
      <c r="V172" s="1">
        <f>'F-1 Off-Site WaterC'' Baseline'!AG175</f>
        <v>0</v>
      </c>
    </row>
    <row r="173" spans="1:22" x14ac:dyDescent="0.3">
      <c r="A173" s="757">
        <f>'D-1 Off-Site Habitat Baseline'!AF177</f>
        <v>0</v>
      </c>
      <c r="M173" s="757">
        <f>'E-1 Off-Site Hedge Baseline'!AB176</f>
        <v>0</v>
      </c>
      <c r="V173" s="1">
        <f>'F-1 Off-Site WaterC'' Baseline'!AG176</f>
        <v>0</v>
      </c>
    </row>
    <row r="174" spans="1:22" x14ac:dyDescent="0.3">
      <c r="A174" s="757">
        <f>'D-1 Off-Site Habitat Baseline'!AF178</f>
        <v>0</v>
      </c>
      <c r="M174" s="757">
        <f>'E-1 Off-Site Hedge Baseline'!AB177</f>
        <v>0</v>
      </c>
      <c r="V174" s="1">
        <f>'F-1 Off-Site WaterC'' Baseline'!AG177</f>
        <v>0</v>
      </c>
    </row>
    <row r="175" spans="1:22" x14ac:dyDescent="0.3">
      <c r="A175" s="757">
        <f>'D-1 Off-Site Habitat Baseline'!AF179</f>
        <v>0</v>
      </c>
      <c r="M175" s="757">
        <f>'E-1 Off-Site Hedge Baseline'!AB178</f>
        <v>0</v>
      </c>
      <c r="V175" s="1">
        <f>'F-1 Off-Site WaterC'' Baseline'!AG178</f>
        <v>0</v>
      </c>
    </row>
    <row r="176" spans="1:22" x14ac:dyDescent="0.3">
      <c r="A176" s="757">
        <f>'D-1 Off-Site Habitat Baseline'!AF180</f>
        <v>0</v>
      </c>
      <c r="M176" s="757">
        <f>'E-1 Off-Site Hedge Baseline'!AB179</f>
        <v>0</v>
      </c>
      <c r="V176" s="1">
        <f>'F-1 Off-Site WaterC'' Baseline'!AG179</f>
        <v>0</v>
      </c>
    </row>
    <row r="177" spans="1:22" x14ac:dyDescent="0.3">
      <c r="A177" s="757">
        <f>'D-1 Off-Site Habitat Baseline'!AF181</f>
        <v>0</v>
      </c>
      <c r="M177" s="757">
        <f>'E-1 Off-Site Hedge Baseline'!AB180</f>
        <v>0</v>
      </c>
      <c r="V177" s="1">
        <f>'F-1 Off-Site WaterC'' Baseline'!AG180</f>
        <v>0</v>
      </c>
    </row>
    <row r="178" spans="1:22" x14ac:dyDescent="0.3">
      <c r="A178" s="757">
        <f>'D-1 Off-Site Habitat Baseline'!AF182</f>
        <v>0</v>
      </c>
      <c r="M178" s="757">
        <f>'E-1 Off-Site Hedge Baseline'!AB181</f>
        <v>0</v>
      </c>
      <c r="V178" s="1">
        <f>'F-1 Off-Site WaterC'' Baseline'!AG181</f>
        <v>0</v>
      </c>
    </row>
    <row r="179" spans="1:22" x14ac:dyDescent="0.3">
      <c r="A179" s="757">
        <f>'D-1 Off-Site Habitat Baseline'!AF183</f>
        <v>0</v>
      </c>
      <c r="M179" s="757">
        <f>'E-1 Off-Site Hedge Baseline'!AB182</f>
        <v>0</v>
      </c>
      <c r="V179" s="1">
        <f>'F-1 Off-Site WaterC'' Baseline'!AG182</f>
        <v>0</v>
      </c>
    </row>
    <row r="180" spans="1:22" x14ac:dyDescent="0.3">
      <c r="A180" s="757">
        <f>'D-1 Off-Site Habitat Baseline'!AF184</f>
        <v>0</v>
      </c>
      <c r="M180" s="757">
        <f>'E-1 Off-Site Hedge Baseline'!AB183</f>
        <v>0</v>
      </c>
      <c r="V180" s="1">
        <f>'F-1 Off-Site WaterC'' Baseline'!AG183</f>
        <v>0</v>
      </c>
    </row>
    <row r="181" spans="1:22" x14ac:dyDescent="0.3">
      <c r="A181" s="757">
        <f>'D-1 Off-Site Habitat Baseline'!AF185</f>
        <v>0</v>
      </c>
      <c r="M181" s="757">
        <f>'E-1 Off-Site Hedge Baseline'!AB184</f>
        <v>0</v>
      </c>
      <c r="V181" s="1">
        <f>'F-1 Off-Site WaterC'' Baseline'!AG184</f>
        <v>0</v>
      </c>
    </row>
    <row r="182" spans="1:22" x14ac:dyDescent="0.3">
      <c r="A182" s="757">
        <f>'D-1 Off-Site Habitat Baseline'!AF186</f>
        <v>0</v>
      </c>
      <c r="M182" s="757">
        <f>'E-1 Off-Site Hedge Baseline'!AB185</f>
        <v>0</v>
      </c>
      <c r="V182" s="1">
        <f>'F-1 Off-Site WaterC'' Baseline'!AG185</f>
        <v>0</v>
      </c>
    </row>
    <row r="183" spans="1:22" x14ac:dyDescent="0.3">
      <c r="A183" s="757">
        <f>'D-1 Off-Site Habitat Baseline'!AF187</f>
        <v>0</v>
      </c>
      <c r="M183" s="757">
        <f>'E-1 Off-Site Hedge Baseline'!AB186</f>
        <v>0</v>
      </c>
      <c r="V183" s="1">
        <f>'F-1 Off-Site WaterC'' Baseline'!AG186</f>
        <v>0</v>
      </c>
    </row>
    <row r="184" spans="1:22" x14ac:dyDescent="0.3">
      <c r="A184" s="757">
        <f>'D-1 Off-Site Habitat Baseline'!AF188</f>
        <v>0</v>
      </c>
      <c r="M184" s="757">
        <f>'E-1 Off-Site Hedge Baseline'!AB187</f>
        <v>0</v>
      </c>
      <c r="V184" s="1">
        <f>'F-1 Off-Site WaterC'' Baseline'!AG187</f>
        <v>0</v>
      </c>
    </row>
    <row r="185" spans="1:22" x14ac:dyDescent="0.3">
      <c r="A185" s="757">
        <f>'D-1 Off-Site Habitat Baseline'!AF189</f>
        <v>0</v>
      </c>
      <c r="M185" s="757">
        <f>'E-1 Off-Site Hedge Baseline'!AB188</f>
        <v>0</v>
      </c>
      <c r="V185" s="1">
        <f>'F-1 Off-Site WaterC'' Baseline'!AG188</f>
        <v>0</v>
      </c>
    </row>
    <row r="186" spans="1:22" x14ac:dyDescent="0.3">
      <c r="A186" s="757">
        <f>'D-1 Off-Site Habitat Baseline'!AF190</f>
        <v>0</v>
      </c>
      <c r="M186" s="757">
        <f>'E-1 Off-Site Hedge Baseline'!AB189</f>
        <v>0</v>
      </c>
      <c r="V186" s="1">
        <f>'F-1 Off-Site WaterC'' Baseline'!AG189</f>
        <v>0</v>
      </c>
    </row>
    <row r="187" spans="1:22" x14ac:dyDescent="0.3">
      <c r="A187" s="757">
        <f>'D-1 Off-Site Habitat Baseline'!AF191</f>
        <v>0</v>
      </c>
      <c r="M187" s="757">
        <f>'E-1 Off-Site Hedge Baseline'!AB190</f>
        <v>0</v>
      </c>
      <c r="V187" s="1">
        <f>'F-1 Off-Site WaterC'' Baseline'!AG190</f>
        <v>0</v>
      </c>
    </row>
    <row r="188" spans="1:22" x14ac:dyDescent="0.3">
      <c r="A188" s="757">
        <f>'D-1 Off-Site Habitat Baseline'!AF192</f>
        <v>0</v>
      </c>
      <c r="M188" s="757">
        <f>'E-1 Off-Site Hedge Baseline'!AB191</f>
        <v>0</v>
      </c>
      <c r="V188" s="1">
        <f>'F-1 Off-Site WaterC'' Baseline'!AG191</f>
        <v>0</v>
      </c>
    </row>
    <row r="189" spans="1:22" x14ac:dyDescent="0.3">
      <c r="A189" s="757">
        <f>'D-1 Off-Site Habitat Baseline'!AF193</f>
        <v>0</v>
      </c>
      <c r="M189" s="757">
        <f>'E-1 Off-Site Hedge Baseline'!AB192</f>
        <v>0</v>
      </c>
      <c r="V189" s="1">
        <f>'F-1 Off-Site WaterC'' Baseline'!AG192</f>
        <v>0</v>
      </c>
    </row>
    <row r="190" spans="1:22" x14ac:dyDescent="0.3">
      <c r="A190" s="757">
        <f>'D-1 Off-Site Habitat Baseline'!AF194</f>
        <v>0</v>
      </c>
      <c r="M190" s="757">
        <f>'E-1 Off-Site Hedge Baseline'!AB193</f>
        <v>0</v>
      </c>
      <c r="V190" s="1">
        <f>'F-1 Off-Site WaterC'' Baseline'!AG193</f>
        <v>0</v>
      </c>
    </row>
    <row r="191" spans="1:22" x14ac:dyDescent="0.3">
      <c r="A191" s="757">
        <f>'D-1 Off-Site Habitat Baseline'!AF195</f>
        <v>0</v>
      </c>
      <c r="M191" s="757">
        <f>'E-1 Off-Site Hedge Baseline'!AB194</f>
        <v>0</v>
      </c>
      <c r="V191" s="1">
        <f>'F-1 Off-Site WaterC'' Baseline'!AG194</f>
        <v>0</v>
      </c>
    </row>
    <row r="192" spans="1:22" x14ac:dyDescent="0.3">
      <c r="A192" s="757">
        <f>'D-1 Off-Site Habitat Baseline'!AF196</f>
        <v>0</v>
      </c>
      <c r="M192" s="757">
        <f>'E-1 Off-Site Hedge Baseline'!AB195</f>
        <v>0</v>
      </c>
      <c r="V192" s="1">
        <f>'F-1 Off-Site WaterC'' Baseline'!AG195</f>
        <v>0</v>
      </c>
    </row>
    <row r="193" spans="1:22" x14ac:dyDescent="0.3">
      <c r="A193" s="757">
        <f>'D-1 Off-Site Habitat Baseline'!AF197</f>
        <v>0</v>
      </c>
      <c r="M193" s="757">
        <f>'E-1 Off-Site Hedge Baseline'!AB196</f>
        <v>0</v>
      </c>
      <c r="V193" s="1">
        <f>'F-1 Off-Site WaterC'' Baseline'!AG196</f>
        <v>0</v>
      </c>
    </row>
    <row r="194" spans="1:22" x14ac:dyDescent="0.3">
      <c r="A194" s="757">
        <f>'D-1 Off-Site Habitat Baseline'!AF198</f>
        <v>0</v>
      </c>
      <c r="M194" s="757">
        <f>'E-1 Off-Site Hedge Baseline'!AB197</f>
        <v>0</v>
      </c>
      <c r="V194" s="1">
        <f>'F-1 Off-Site WaterC'' Baseline'!AG197</f>
        <v>0</v>
      </c>
    </row>
    <row r="195" spans="1:22" x14ac:dyDescent="0.3">
      <c r="A195" s="757">
        <f>'D-1 Off-Site Habitat Baseline'!AF199</f>
        <v>0</v>
      </c>
      <c r="M195" s="757">
        <f>'E-1 Off-Site Hedge Baseline'!AB198</f>
        <v>0</v>
      </c>
      <c r="V195" s="1">
        <f>'F-1 Off-Site WaterC'' Baseline'!AG198</f>
        <v>0</v>
      </c>
    </row>
    <row r="196" spans="1:22" x14ac:dyDescent="0.3">
      <c r="A196" s="757">
        <f>'D-1 Off-Site Habitat Baseline'!AF200</f>
        <v>0</v>
      </c>
      <c r="M196" s="757">
        <f>'E-1 Off-Site Hedge Baseline'!AB199</f>
        <v>0</v>
      </c>
      <c r="V196" s="1">
        <f>'F-1 Off-Site WaterC'' Baseline'!AG199</f>
        <v>0</v>
      </c>
    </row>
    <row r="197" spans="1:22" x14ac:dyDescent="0.3">
      <c r="A197" s="757">
        <f>'D-1 Off-Site Habitat Baseline'!AF201</f>
        <v>0</v>
      </c>
      <c r="M197" s="757">
        <f>'E-1 Off-Site Hedge Baseline'!AB200</f>
        <v>0</v>
      </c>
      <c r="V197" s="1">
        <f>'F-1 Off-Site WaterC'' Baseline'!AG200</f>
        <v>0</v>
      </c>
    </row>
    <row r="198" spans="1:22" x14ac:dyDescent="0.3">
      <c r="A198" s="757">
        <f>'D-1 Off-Site Habitat Baseline'!AF202</f>
        <v>0</v>
      </c>
      <c r="M198" s="757">
        <f>'E-1 Off-Site Hedge Baseline'!AB201</f>
        <v>0</v>
      </c>
      <c r="V198" s="1">
        <f>'F-1 Off-Site WaterC'' Baseline'!AG201</f>
        <v>0</v>
      </c>
    </row>
    <row r="199" spans="1:22" x14ac:dyDescent="0.3">
      <c r="A199" s="757">
        <f>'D-1 Off-Site Habitat Baseline'!AF203</f>
        <v>0</v>
      </c>
      <c r="M199" s="757">
        <f>'E-1 Off-Site Hedge Baseline'!AB202</f>
        <v>0</v>
      </c>
      <c r="V199" s="1">
        <f>'F-1 Off-Site WaterC'' Baseline'!AG202</f>
        <v>0</v>
      </c>
    </row>
    <row r="200" spans="1:22" x14ac:dyDescent="0.3">
      <c r="A200" s="757">
        <f>'D-1 Off-Site Habitat Baseline'!AF204</f>
        <v>0</v>
      </c>
      <c r="M200" s="757">
        <f>'E-1 Off-Site Hedge Baseline'!AB203</f>
        <v>0</v>
      </c>
      <c r="V200" s="1">
        <f>'F-1 Off-Site WaterC'' Baseline'!AG203</f>
        <v>0</v>
      </c>
    </row>
    <row r="201" spans="1:22" x14ac:dyDescent="0.3">
      <c r="A201" s="757">
        <f>'D-1 Off-Site Habitat Baseline'!AF205</f>
        <v>0</v>
      </c>
      <c r="M201" s="757">
        <f>'E-1 Off-Site Hedge Baseline'!AB204</f>
        <v>0</v>
      </c>
      <c r="V201" s="1">
        <f>'F-1 Off-Site WaterC'' Baseline'!AG204</f>
        <v>0</v>
      </c>
    </row>
    <row r="202" spans="1:22" x14ac:dyDescent="0.3">
      <c r="A202" s="757">
        <f>'D-1 Off-Site Habitat Baseline'!AF206</f>
        <v>0</v>
      </c>
      <c r="M202" s="757">
        <f>'E-1 Off-Site Hedge Baseline'!AB205</f>
        <v>0</v>
      </c>
      <c r="V202" s="1">
        <f>'F-1 Off-Site WaterC'' Baseline'!AG205</f>
        <v>0</v>
      </c>
    </row>
    <row r="203" spans="1:22" x14ac:dyDescent="0.3">
      <c r="A203" s="757">
        <f>'D-1 Off-Site Habitat Baseline'!AF207</f>
        <v>0</v>
      </c>
      <c r="M203" s="757">
        <f>'E-1 Off-Site Hedge Baseline'!AB206</f>
        <v>0</v>
      </c>
      <c r="V203" s="1">
        <f>'F-1 Off-Site WaterC'' Baseline'!AG206</f>
        <v>0</v>
      </c>
    </row>
    <row r="204" spans="1:22" x14ac:dyDescent="0.3">
      <c r="A204" s="757">
        <f>'D-1 Off-Site Habitat Baseline'!AF208</f>
        <v>0</v>
      </c>
      <c r="M204" s="757">
        <f>'E-1 Off-Site Hedge Baseline'!AB207</f>
        <v>0</v>
      </c>
      <c r="V204" s="1">
        <f>'F-1 Off-Site WaterC'' Baseline'!AG207</f>
        <v>0</v>
      </c>
    </row>
    <row r="205" spans="1:22" x14ac:dyDescent="0.3">
      <c r="A205" s="757">
        <f>'D-1 Off-Site Habitat Baseline'!AF209</f>
        <v>0</v>
      </c>
      <c r="M205" s="757">
        <f>'E-1 Off-Site Hedge Baseline'!AB208</f>
        <v>0</v>
      </c>
      <c r="V205" s="1">
        <f>'F-1 Off-Site WaterC'' Baseline'!AG208</f>
        <v>0</v>
      </c>
    </row>
    <row r="206" spans="1:22" x14ac:dyDescent="0.3">
      <c r="A206" s="757">
        <f>'D-1 Off-Site Habitat Baseline'!AF210</f>
        <v>0</v>
      </c>
      <c r="M206" s="757">
        <f>'E-1 Off-Site Hedge Baseline'!AB209</f>
        <v>0</v>
      </c>
      <c r="V206" s="1">
        <f>'F-1 Off-Site WaterC'' Baseline'!AG209</f>
        <v>0</v>
      </c>
    </row>
    <row r="207" spans="1:22" x14ac:dyDescent="0.3">
      <c r="A207" s="757">
        <f>'D-1 Off-Site Habitat Baseline'!AF211</f>
        <v>0</v>
      </c>
      <c r="M207" s="757">
        <f>'E-1 Off-Site Hedge Baseline'!AB210</f>
        <v>0</v>
      </c>
      <c r="V207" s="1">
        <f>'F-1 Off-Site WaterC'' Baseline'!AG210</f>
        <v>0</v>
      </c>
    </row>
    <row r="208" spans="1:22" x14ac:dyDescent="0.3">
      <c r="A208" s="757">
        <f>'D-1 Off-Site Habitat Baseline'!AF212</f>
        <v>0</v>
      </c>
      <c r="M208" s="757">
        <f>'E-1 Off-Site Hedge Baseline'!AB211</f>
        <v>0</v>
      </c>
      <c r="V208" s="1">
        <f>'F-1 Off-Site WaterC'' Baseline'!AG211</f>
        <v>0</v>
      </c>
    </row>
    <row r="209" spans="1:22" x14ac:dyDescent="0.3">
      <c r="A209" s="757">
        <f>'D-1 Off-Site Habitat Baseline'!AF213</f>
        <v>0</v>
      </c>
      <c r="M209" s="757">
        <f>'E-1 Off-Site Hedge Baseline'!AB212</f>
        <v>0</v>
      </c>
      <c r="V209" s="1">
        <f>'F-1 Off-Site WaterC'' Baseline'!AG212</f>
        <v>0</v>
      </c>
    </row>
    <row r="210" spans="1:22" x14ac:dyDescent="0.3">
      <c r="A210" s="757">
        <f>'D-1 Off-Site Habitat Baseline'!AF214</f>
        <v>0</v>
      </c>
      <c r="M210" s="757">
        <f>'E-1 Off-Site Hedge Baseline'!AB213</f>
        <v>0</v>
      </c>
      <c r="V210" s="1">
        <f>'F-1 Off-Site WaterC'' Baseline'!AG213</f>
        <v>0</v>
      </c>
    </row>
    <row r="211" spans="1:22" x14ac:dyDescent="0.3">
      <c r="A211" s="757">
        <f>'D-1 Off-Site Habitat Baseline'!AF215</f>
        <v>0</v>
      </c>
      <c r="M211" s="757">
        <f>'E-1 Off-Site Hedge Baseline'!AB214</f>
        <v>0</v>
      </c>
      <c r="V211" s="1">
        <f>'F-1 Off-Site WaterC'' Baseline'!AG214</f>
        <v>0</v>
      </c>
    </row>
    <row r="212" spans="1:22" x14ac:dyDescent="0.3">
      <c r="A212" s="757">
        <f>'D-1 Off-Site Habitat Baseline'!AF216</f>
        <v>0</v>
      </c>
      <c r="M212" s="757">
        <f>'E-1 Off-Site Hedge Baseline'!AB215</f>
        <v>0</v>
      </c>
      <c r="V212" s="1">
        <f>'F-1 Off-Site WaterC'' Baseline'!AG215</f>
        <v>0</v>
      </c>
    </row>
    <row r="213" spans="1:22" x14ac:dyDescent="0.3">
      <c r="A213" s="757">
        <f>'D-1 Off-Site Habitat Baseline'!AF217</f>
        <v>0</v>
      </c>
      <c r="M213" s="757">
        <f>'E-1 Off-Site Hedge Baseline'!AB216</f>
        <v>0</v>
      </c>
      <c r="V213" s="1">
        <f>'F-1 Off-Site WaterC'' Baseline'!AG216</f>
        <v>0</v>
      </c>
    </row>
    <row r="214" spans="1:22" x14ac:dyDescent="0.3">
      <c r="A214" s="757">
        <f>'D-1 Off-Site Habitat Baseline'!AF218</f>
        <v>0</v>
      </c>
      <c r="M214" s="757">
        <f>'E-1 Off-Site Hedge Baseline'!AB217</f>
        <v>0</v>
      </c>
      <c r="V214" s="1">
        <f>'F-1 Off-Site WaterC'' Baseline'!AG217</f>
        <v>0</v>
      </c>
    </row>
    <row r="215" spans="1:22" x14ac:dyDescent="0.3">
      <c r="A215" s="757">
        <f>'D-1 Off-Site Habitat Baseline'!AF219</f>
        <v>0</v>
      </c>
      <c r="M215" s="757">
        <f>'E-1 Off-Site Hedge Baseline'!AB218</f>
        <v>0</v>
      </c>
      <c r="V215" s="1">
        <f>'F-1 Off-Site WaterC'' Baseline'!AG218</f>
        <v>0</v>
      </c>
    </row>
    <row r="216" spans="1:22" x14ac:dyDescent="0.3">
      <c r="A216" s="757">
        <f>'D-1 Off-Site Habitat Baseline'!AF220</f>
        <v>0</v>
      </c>
      <c r="M216" s="757">
        <f>'E-1 Off-Site Hedge Baseline'!AB219</f>
        <v>0</v>
      </c>
      <c r="V216" s="1">
        <f>'F-1 Off-Site WaterC'' Baseline'!AG219</f>
        <v>0</v>
      </c>
    </row>
    <row r="217" spans="1:22" x14ac:dyDescent="0.3">
      <c r="A217" s="757">
        <f>'D-1 Off-Site Habitat Baseline'!AF221</f>
        <v>0</v>
      </c>
      <c r="M217" s="757">
        <f>'E-1 Off-Site Hedge Baseline'!AB220</f>
        <v>0</v>
      </c>
      <c r="V217" s="1">
        <f>'F-1 Off-Site WaterC'' Baseline'!AG220</f>
        <v>0</v>
      </c>
    </row>
    <row r="218" spans="1:22" x14ac:dyDescent="0.3">
      <c r="A218" s="757">
        <f>'D-1 Off-Site Habitat Baseline'!AF222</f>
        <v>0</v>
      </c>
      <c r="M218" s="757">
        <f>'E-1 Off-Site Hedge Baseline'!AB221</f>
        <v>0</v>
      </c>
      <c r="V218" s="1">
        <f>'F-1 Off-Site WaterC'' Baseline'!AG221</f>
        <v>0</v>
      </c>
    </row>
    <row r="219" spans="1:22" x14ac:dyDescent="0.3">
      <c r="A219" s="757">
        <f>'D-1 Off-Site Habitat Baseline'!AF223</f>
        <v>0</v>
      </c>
      <c r="M219" s="757">
        <f>'E-1 Off-Site Hedge Baseline'!AB222</f>
        <v>0</v>
      </c>
      <c r="V219" s="1">
        <f>'F-1 Off-Site WaterC'' Baseline'!AG222</f>
        <v>0</v>
      </c>
    </row>
    <row r="220" spans="1:22" x14ac:dyDescent="0.3">
      <c r="A220" s="757">
        <f>'D-1 Off-Site Habitat Baseline'!AF224</f>
        <v>0</v>
      </c>
      <c r="M220" s="757">
        <f>'E-1 Off-Site Hedge Baseline'!AB223</f>
        <v>0</v>
      </c>
      <c r="V220" s="1">
        <f>'F-1 Off-Site WaterC'' Baseline'!AG223</f>
        <v>0</v>
      </c>
    </row>
    <row r="221" spans="1:22" x14ac:dyDescent="0.3">
      <c r="A221" s="757">
        <f>'D-1 Off-Site Habitat Baseline'!AF225</f>
        <v>0</v>
      </c>
      <c r="M221" s="757">
        <f>'E-1 Off-Site Hedge Baseline'!AB224</f>
        <v>0</v>
      </c>
      <c r="V221" s="1">
        <f>'F-1 Off-Site WaterC'' Baseline'!AG224</f>
        <v>0</v>
      </c>
    </row>
    <row r="222" spans="1:22" x14ac:dyDescent="0.3">
      <c r="A222" s="757">
        <f>'D-1 Off-Site Habitat Baseline'!AF226</f>
        <v>0</v>
      </c>
      <c r="M222" s="757">
        <f>'E-1 Off-Site Hedge Baseline'!AB225</f>
        <v>0</v>
      </c>
      <c r="V222" s="1">
        <f>'F-1 Off-Site WaterC'' Baseline'!AG225</f>
        <v>0</v>
      </c>
    </row>
    <row r="223" spans="1:22" x14ac:dyDescent="0.3">
      <c r="A223" s="757">
        <f>'D-1 Off-Site Habitat Baseline'!AF227</f>
        <v>0</v>
      </c>
      <c r="M223" s="757">
        <f>'E-1 Off-Site Hedge Baseline'!AB226</f>
        <v>0</v>
      </c>
      <c r="V223" s="1">
        <f>'F-1 Off-Site WaterC'' Baseline'!AG226</f>
        <v>0</v>
      </c>
    </row>
    <row r="224" spans="1:22" x14ac:dyDescent="0.3">
      <c r="A224" s="757">
        <f>'D-1 Off-Site Habitat Baseline'!AF228</f>
        <v>0</v>
      </c>
      <c r="M224" s="757">
        <f>'E-1 Off-Site Hedge Baseline'!AB227</f>
        <v>0</v>
      </c>
      <c r="V224" s="1">
        <f>'F-1 Off-Site WaterC'' Baseline'!AG227</f>
        <v>0</v>
      </c>
    </row>
    <row r="225" spans="1:22" x14ac:dyDescent="0.3">
      <c r="A225" s="757">
        <f>'D-1 Off-Site Habitat Baseline'!AF229</f>
        <v>0</v>
      </c>
      <c r="M225" s="757">
        <f>'E-1 Off-Site Hedge Baseline'!AB228</f>
        <v>0</v>
      </c>
      <c r="V225" s="1">
        <f>'F-1 Off-Site WaterC'' Baseline'!AG228</f>
        <v>0</v>
      </c>
    </row>
    <row r="226" spans="1:22" x14ac:dyDescent="0.3">
      <c r="A226" s="757">
        <f>'D-1 Off-Site Habitat Baseline'!AF230</f>
        <v>0</v>
      </c>
      <c r="M226" s="757">
        <f>'E-1 Off-Site Hedge Baseline'!AB229</f>
        <v>0</v>
      </c>
      <c r="V226" s="1">
        <f>'F-1 Off-Site WaterC'' Baseline'!AG229</f>
        <v>0</v>
      </c>
    </row>
    <row r="227" spans="1:22" x14ac:dyDescent="0.3">
      <c r="A227" s="757">
        <f>'D-1 Off-Site Habitat Baseline'!AF231</f>
        <v>0</v>
      </c>
      <c r="M227" s="757">
        <f>'E-1 Off-Site Hedge Baseline'!AB230</f>
        <v>0</v>
      </c>
      <c r="V227" s="1">
        <f>'F-1 Off-Site WaterC'' Baseline'!AG230</f>
        <v>0</v>
      </c>
    </row>
    <row r="228" spans="1:22" x14ac:dyDescent="0.3">
      <c r="A228" s="757">
        <f>'D-1 Off-Site Habitat Baseline'!AF232</f>
        <v>0</v>
      </c>
      <c r="M228" s="757">
        <f>'E-1 Off-Site Hedge Baseline'!AB231</f>
        <v>0</v>
      </c>
      <c r="V228" s="1">
        <f>'F-1 Off-Site WaterC'' Baseline'!AG231</f>
        <v>0</v>
      </c>
    </row>
    <row r="229" spans="1:22" x14ac:dyDescent="0.3">
      <c r="A229" s="757">
        <f>'D-1 Off-Site Habitat Baseline'!AF233</f>
        <v>0</v>
      </c>
      <c r="M229" s="757">
        <f>'E-1 Off-Site Hedge Baseline'!AB232</f>
        <v>0</v>
      </c>
      <c r="V229" s="1">
        <f>'F-1 Off-Site WaterC'' Baseline'!AG232</f>
        <v>0</v>
      </c>
    </row>
    <row r="230" spans="1:22" x14ac:dyDescent="0.3">
      <c r="A230" s="757">
        <f>'D-1 Off-Site Habitat Baseline'!AF234</f>
        <v>0</v>
      </c>
      <c r="M230" s="757">
        <f>'E-1 Off-Site Hedge Baseline'!AB233</f>
        <v>0</v>
      </c>
      <c r="V230" s="1">
        <f>'F-1 Off-Site WaterC'' Baseline'!AG233</f>
        <v>0</v>
      </c>
    </row>
    <row r="231" spans="1:22" x14ac:dyDescent="0.3">
      <c r="A231" s="757">
        <f>'D-1 Off-Site Habitat Baseline'!AF235</f>
        <v>0</v>
      </c>
      <c r="M231" s="757">
        <f>'E-1 Off-Site Hedge Baseline'!AB234</f>
        <v>0</v>
      </c>
      <c r="V231" s="1">
        <f>'F-1 Off-Site WaterC'' Baseline'!AG234</f>
        <v>0</v>
      </c>
    </row>
    <row r="232" spans="1:22" x14ac:dyDescent="0.3">
      <c r="A232" s="757">
        <f>'D-1 Off-Site Habitat Baseline'!AF236</f>
        <v>0</v>
      </c>
      <c r="M232" s="757">
        <f>'E-1 Off-Site Hedge Baseline'!AB235</f>
        <v>0</v>
      </c>
      <c r="V232" s="1">
        <f>'F-1 Off-Site WaterC'' Baseline'!AG235</f>
        <v>0</v>
      </c>
    </row>
    <row r="233" spans="1:22" x14ac:dyDescent="0.3">
      <c r="A233" s="757">
        <f>'D-1 Off-Site Habitat Baseline'!AF237</f>
        <v>0</v>
      </c>
      <c r="M233" s="757">
        <f>'E-1 Off-Site Hedge Baseline'!AB236</f>
        <v>0</v>
      </c>
      <c r="V233" s="1">
        <f>'F-1 Off-Site WaterC'' Baseline'!AG236</f>
        <v>0</v>
      </c>
    </row>
    <row r="234" spans="1:22" x14ac:dyDescent="0.3">
      <c r="A234" s="757">
        <f>'D-1 Off-Site Habitat Baseline'!AF238</f>
        <v>0</v>
      </c>
      <c r="M234" s="757">
        <f>'E-1 Off-Site Hedge Baseline'!AB237</f>
        <v>0</v>
      </c>
      <c r="V234" s="1">
        <f>'F-1 Off-Site WaterC'' Baseline'!AG237</f>
        <v>0</v>
      </c>
    </row>
    <row r="235" spans="1:22" x14ac:dyDescent="0.3">
      <c r="A235" s="757">
        <f>'D-1 Off-Site Habitat Baseline'!AF239</f>
        <v>0</v>
      </c>
      <c r="M235" s="757">
        <f>'E-1 Off-Site Hedge Baseline'!AB238</f>
        <v>0</v>
      </c>
      <c r="V235" s="1">
        <f>'F-1 Off-Site WaterC'' Baseline'!AG238</f>
        <v>0</v>
      </c>
    </row>
    <row r="236" spans="1:22" x14ac:dyDescent="0.3">
      <c r="A236" s="757">
        <f>'D-1 Off-Site Habitat Baseline'!AF240</f>
        <v>0</v>
      </c>
      <c r="M236" s="757">
        <f>'E-1 Off-Site Hedge Baseline'!AB239</f>
        <v>0</v>
      </c>
      <c r="V236" s="1">
        <f>'F-1 Off-Site WaterC'' Baseline'!AG239</f>
        <v>0</v>
      </c>
    </row>
    <row r="237" spans="1:22" x14ac:dyDescent="0.3">
      <c r="A237" s="757">
        <f>'D-1 Off-Site Habitat Baseline'!AF241</f>
        <v>0</v>
      </c>
      <c r="M237" s="757">
        <f>'E-1 Off-Site Hedge Baseline'!AB240</f>
        <v>0</v>
      </c>
      <c r="V237" s="1">
        <f>'F-1 Off-Site WaterC'' Baseline'!AG240</f>
        <v>0</v>
      </c>
    </row>
    <row r="238" spans="1:22" x14ac:dyDescent="0.3">
      <c r="A238" s="757">
        <f>'D-1 Off-Site Habitat Baseline'!AF242</f>
        <v>0</v>
      </c>
      <c r="M238" s="757">
        <f>'E-1 Off-Site Hedge Baseline'!AB241</f>
        <v>0</v>
      </c>
      <c r="V238" s="1">
        <f>'F-1 Off-Site WaterC'' Baseline'!AG241</f>
        <v>0</v>
      </c>
    </row>
    <row r="239" spans="1:22" x14ac:dyDescent="0.3">
      <c r="A239" s="757">
        <f>'D-1 Off-Site Habitat Baseline'!AF243</f>
        <v>0</v>
      </c>
      <c r="M239" s="757">
        <f>'E-1 Off-Site Hedge Baseline'!AB242</f>
        <v>0</v>
      </c>
      <c r="V239" s="1">
        <f>'F-1 Off-Site WaterC'' Baseline'!AG242</f>
        <v>0</v>
      </c>
    </row>
    <row r="240" spans="1:22" x14ac:dyDescent="0.3">
      <c r="A240" s="757">
        <f>'D-1 Off-Site Habitat Baseline'!AF244</f>
        <v>0</v>
      </c>
      <c r="M240" s="757">
        <f>'E-1 Off-Site Hedge Baseline'!AB243</f>
        <v>0</v>
      </c>
      <c r="V240" s="1">
        <f>'F-1 Off-Site WaterC'' Baseline'!AG243</f>
        <v>0</v>
      </c>
    </row>
    <row r="241" spans="1:22" x14ac:dyDescent="0.3">
      <c r="A241" s="757">
        <f>'D-1 Off-Site Habitat Baseline'!AF245</f>
        <v>0</v>
      </c>
      <c r="M241" s="757">
        <f>'E-1 Off-Site Hedge Baseline'!AB244</f>
        <v>0</v>
      </c>
      <c r="V241" s="1">
        <f>'F-1 Off-Site WaterC'' Baseline'!AG244</f>
        <v>0</v>
      </c>
    </row>
    <row r="242" spans="1:22" x14ac:dyDescent="0.3">
      <c r="A242" s="757">
        <f>'D-1 Off-Site Habitat Baseline'!AF246</f>
        <v>0</v>
      </c>
      <c r="M242" s="757">
        <f>'E-1 Off-Site Hedge Baseline'!AB245</f>
        <v>0</v>
      </c>
      <c r="V242" s="1">
        <f>'F-1 Off-Site WaterC'' Baseline'!AG245</f>
        <v>0</v>
      </c>
    </row>
    <row r="243" spans="1:22" x14ac:dyDescent="0.3">
      <c r="A243" s="757">
        <f>'D-1 Off-Site Habitat Baseline'!AF247</f>
        <v>0</v>
      </c>
      <c r="M243" s="757">
        <f>'E-1 Off-Site Hedge Baseline'!AB246</f>
        <v>0</v>
      </c>
      <c r="V243" s="1">
        <f>'F-1 Off-Site WaterC'' Baseline'!AG246</f>
        <v>0</v>
      </c>
    </row>
    <row r="244" spans="1:22" x14ac:dyDescent="0.3">
      <c r="A244" s="757">
        <f>'D-1 Off-Site Habitat Baseline'!AF248</f>
        <v>0</v>
      </c>
      <c r="M244" s="757">
        <f>'E-1 Off-Site Hedge Baseline'!AB247</f>
        <v>0</v>
      </c>
      <c r="V244" s="1">
        <f>'F-1 Off-Site WaterC'' Baseline'!AG247</f>
        <v>0</v>
      </c>
    </row>
    <row r="245" spans="1:22" x14ac:dyDescent="0.3">
      <c r="A245" s="757">
        <f>'D-1 Off-Site Habitat Baseline'!AF249</f>
        <v>0</v>
      </c>
      <c r="M245" s="757">
        <f>'E-1 Off-Site Hedge Baseline'!AB248</f>
        <v>0</v>
      </c>
      <c r="V245" s="1">
        <f>'F-1 Off-Site WaterC'' Baseline'!AG248</f>
        <v>0</v>
      </c>
    </row>
    <row r="246" spans="1:22" x14ac:dyDescent="0.3">
      <c r="A246" s="757">
        <f>'D-1 Off-Site Habitat Baseline'!AF250</f>
        <v>0</v>
      </c>
      <c r="M246" s="757">
        <f>'E-1 Off-Site Hedge Baseline'!AB249</f>
        <v>0</v>
      </c>
      <c r="V246" s="1">
        <f>'F-1 Off-Site WaterC'' Baseline'!AG249</f>
        <v>0</v>
      </c>
    </row>
    <row r="247" spans="1:22" x14ac:dyDescent="0.3">
      <c r="A247" s="757">
        <f>'D-1 Off-Site Habitat Baseline'!AF251</f>
        <v>0</v>
      </c>
      <c r="M247" s="757">
        <f>'E-1 Off-Site Hedge Baseline'!AB250</f>
        <v>0</v>
      </c>
      <c r="V247" s="1">
        <f>'F-1 Off-Site WaterC'' Baseline'!AG250</f>
        <v>0</v>
      </c>
    </row>
    <row r="248" spans="1:22" x14ac:dyDescent="0.3">
      <c r="A248" s="757">
        <f>'D-1 Off-Site Habitat Baseline'!AF252</f>
        <v>0</v>
      </c>
      <c r="M248" s="757">
        <f>'E-1 Off-Site Hedge Baseline'!AB251</f>
        <v>0</v>
      </c>
      <c r="V248" s="1">
        <f>'F-1 Off-Site WaterC'' Baseline'!AG251</f>
        <v>0</v>
      </c>
    </row>
    <row r="249" spans="1:22" x14ac:dyDescent="0.3">
      <c r="A249" s="757">
        <f>'D-1 Off-Site Habitat Baseline'!AF253</f>
        <v>0</v>
      </c>
      <c r="M249" s="757">
        <f>'E-1 Off-Site Hedge Baseline'!AB252</f>
        <v>0</v>
      </c>
      <c r="V249" s="1">
        <f>'F-1 Off-Site WaterC'' Baseline'!AG252</f>
        <v>0</v>
      </c>
    </row>
    <row r="250" spans="1:22" x14ac:dyDescent="0.3">
      <c r="A250" s="757">
        <f>'D-1 Off-Site Habitat Baseline'!AF254</f>
        <v>0</v>
      </c>
      <c r="M250" s="757">
        <f>'E-1 Off-Site Hedge Baseline'!AB253</f>
        <v>0</v>
      </c>
      <c r="V250" s="1">
        <f>'F-1 Off-Site WaterC'' Baseline'!AG253</f>
        <v>0</v>
      </c>
    </row>
    <row r="251" spans="1:22" x14ac:dyDescent="0.3">
      <c r="A251" s="757">
        <f>'D-1 Off-Site Habitat Baseline'!AF255</f>
        <v>0</v>
      </c>
      <c r="M251" s="757">
        <f>'E-1 Off-Site Hedge Baseline'!AB254</f>
        <v>0</v>
      </c>
      <c r="V251" s="1">
        <f>'F-1 Off-Site WaterC'' Baseline'!AG254</f>
        <v>0</v>
      </c>
    </row>
    <row r="252" spans="1:22" x14ac:dyDescent="0.3">
      <c r="A252" s="757">
        <f>'D-1 Off-Site Habitat Baseline'!AF256</f>
        <v>0</v>
      </c>
      <c r="M252" s="757">
        <f>'E-1 Off-Site Hedge Baseline'!AB255</f>
        <v>0</v>
      </c>
      <c r="V252" s="1">
        <f>'F-1 Off-Site WaterC'' Baseline'!AG255</f>
        <v>0</v>
      </c>
    </row>
    <row r="253" spans="1:22" x14ac:dyDescent="0.3">
      <c r="A253" s="757">
        <f>'D-1 Off-Site Habitat Baseline'!AF257</f>
        <v>0</v>
      </c>
      <c r="M253" s="757">
        <f>'E-1 Off-Site Hedge Baseline'!AB256</f>
        <v>0</v>
      </c>
      <c r="V253" s="1">
        <f>'F-1 Off-Site WaterC'' Baseline'!AG256</f>
        <v>0</v>
      </c>
    </row>
    <row r="254" spans="1:22" x14ac:dyDescent="0.3">
      <c r="A254" s="757">
        <f>'D-1 Off-Site Habitat Baseline'!AF258</f>
        <v>0</v>
      </c>
      <c r="M254" s="757">
        <f>'E-1 Off-Site Hedge Baseline'!AB257</f>
        <v>0</v>
      </c>
      <c r="V254" s="1">
        <f>'F-1 Off-Site WaterC'' Baseline'!AG257</f>
        <v>0</v>
      </c>
    </row>
    <row r="255" spans="1:22" x14ac:dyDescent="0.3">
      <c r="A255" s="757">
        <f>'D-2 Off-Site Habitat Creation'!AF11</f>
        <v>0</v>
      </c>
      <c r="M255" s="757">
        <f>'E-2 Off-Site Hedge Creation'!AD12</f>
        <v>0</v>
      </c>
      <c r="V255" s="1">
        <f>'F-2 Off-Site WaterC'' Creation'!AG12</f>
        <v>0</v>
      </c>
    </row>
    <row r="256" spans="1:22" x14ac:dyDescent="0.3">
      <c r="A256" s="757">
        <f>'D-2 Off-Site Habitat Creation'!AF12</f>
        <v>0</v>
      </c>
      <c r="M256" s="757">
        <f>'E-2 Off-Site Hedge Creation'!AD13</f>
        <v>0</v>
      </c>
      <c r="V256" s="1">
        <f>'F-2 Off-Site WaterC'' Creation'!AG13</f>
        <v>0</v>
      </c>
    </row>
    <row r="257" spans="1:22" x14ac:dyDescent="0.3">
      <c r="A257" s="757">
        <f>'D-2 Off-Site Habitat Creation'!AF13</f>
        <v>0</v>
      </c>
      <c r="M257" s="757">
        <f>'E-2 Off-Site Hedge Creation'!AD14</f>
        <v>0</v>
      </c>
      <c r="V257" s="1">
        <f>'F-2 Off-Site WaterC'' Creation'!AG14</f>
        <v>0</v>
      </c>
    </row>
    <row r="258" spans="1:22" x14ac:dyDescent="0.3">
      <c r="A258" s="757">
        <f>'D-2 Off-Site Habitat Creation'!AF14</f>
        <v>0</v>
      </c>
      <c r="M258" s="757">
        <f>'E-2 Off-Site Hedge Creation'!AD15</f>
        <v>0</v>
      </c>
      <c r="V258" s="1">
        <f>'F-2 Off-Site WaterC'' Creation'!AG15</f>
        <v>0</v>
      </c>
    </row>
    <row r="259" spans="1:22" x14ac:dyDescent="0.3">
      <c r="A259" s="757">
        <f>'D-2 Off-Site Habitat Creation'!AF15</f>
        <v>0</v>
      </c>
      <c r="M259" s="757">
        <f>'E-2 Off-Site Hedge Creation'!AD16</f>
        <v>0</v>
      </c>
      <c r="V259" s="1">
        <f>'F-2 Off-Site WaterC'' Creation'!AG16</f>
        <v>0</v>
      </c>
    </row>
    <row r="260" spans="1:22" x14ac:dyDescent="0.3">
      <c r="A260" s="757">
        <f>'D-2 Off-Site Habitat Creation'!AF16</f>
        <v>0</v>
      </c>
      <c r="M260" s="757">
        <f>'E-2 Off-Site Hedge Creation'!AD17</f>
        <v>0</v>
      </c>
      <c r="V260" s="1">
        <f>'F-2 Off-Site WaterC'' Creation'!AG17</f>
        <v>0</v>
      </c>
    </row>
    <row r="261" spans="1:22" x14ac:dyDescent="0.3">
      <c r="A261" s="757">
        <f>'D-2 Off-Site Habitat Creation'!AF17</f>
        <v>0</v>
      </c>
      <c r="M261" s="757">
        <f>'E-2 Off-Site Hedge Creation'!AD18</f>
        <v>0</v>
      </c>
      <c r="V261" s="1">
        <f>'F-2 Off-Site WaterC'' Creation'!AG18</f>
        <v>0</v>
      </c>
    </row>
    <row r="262" spans="1:22" x14ac:dyDescent="0.3">
      <c r="A262" s="757">
        <f>'D-2 Off-Site Habitat Creation'!AF18</f>
        <v>0</v>
      </c>
      <c r="M262" s="757">
        <f>'E-2 Off-Site Hedge Creation'!AD19</f>
        <v>0</v>
      </c>
      <c r="V262" s="1">
        <f>'F-2 Off-Site WaterC'' Creation'!AG19</f>
        <v>0</v>
      </c>
    </row>
    <row r="263" spans="1:22" x14ac:dyDescent="0.3">
      <c r="A263" s="757">
        <f>'D-2 Off-Site Habitat Creation'!AF19</f>
        <v>0</v>
      </c>
      <c r="M263" s="757">
        <f>'E-2 Off-Site Hedge Creation'!AD20</f>
        <v>0</v>
      </c>
      <c r="V263" s="1">
        <f>'F-2 Off-Site WaterC'' Creation'!AG20</f>
        <v>0</v>
      </c>
    </row>
    <row r="264" spans="1:22" x14ac:dyDescent="0.3">
      <c r="A264" s="757">
        <f>'D-2 Off-Site Habitat Creation'!AF20</f>
        <v>0</v>
      </c>
      <c r="M264" s="757">
        <f>'E-2 Off-Site Hedge Creation'!AD21</f>
        <v>0</v>
      </c>
      <c r="V264" s="1">
        <f>'F-2 Off-Site WaterC'' Creation'!AG21</f>
        <v>0</v>
      </c>
    </row>
    <row r="265" spans="1:22" x14ac:dyDescent="0.3">
      <c r="A265" s="757">
        <f>'D-2 Off-Site Habitat Creation'!AF21</f>
        <v>0</v>
      </c>
      <c r="M265" s="757">
        <f>'E-2 Off-Site Hedge Creation'!AD22</f>
        <v>0</v>
      </c>
      <c r="V265" s="1">
        <f>'F-2 Off-Site WaterC'' Creation'!AG22</f>
        <v>0</v>
      </c>
    </row>
    <row r="266" spans="1:22" x14ac:dyDescent="0.3">
      <c r="A266" s="757">
        <f>'D-2 Off-Site Habitat Creation'!AF22</f>
        <v>0</v>
      </c>
      <c r="M266" s="757">
        <f>'E-2 Off-Site Hedge Creation'!AD23</f>
        <v>0</v>
      </c>
      <c r="V266" s="1">
        <f>'F-2 Off-Site WaterC'' Creation'!AG23</f>
        <v>0</v>
      </c>
    </row>
    <row r="267" spans="1:22" x14ac:dyDescent="0.3">
      <c r="A267" s="757">
        <f>'D-2 Off-Site Habitat Creation'!AF23</f>
        <v>0</v>
      </c>
      <c r="M267" s="757">
        <f>'E-2 Off-Site Hedge Creation'!AD24</f>
        <v>0</v>
      </c>
      <c r="V267" s="1">
        <f>'F-2 Off-Site WaterC'' Creation'!AG24</f>
        <v>0</v>
      </c>
    </row>
    <row r="268" spans="1:22" x14ac:dyDescent="0.3">
      <c r="A268" s="757">
        <f>'D-2 Off-Site Habitat Creation'!AF24</f>
        <v>0</v>
      </c>
      <c r="M268" s="757">
        <f>'E-2 Off-Site Hedge Creation'!AD25</f>
        <v>0</v>
      </c>
      <c r="V268" s="1">
        <f>'F-2 Off-Site WaterC'' Creation'!AG25</f>
        <v>0</v>
      </c>
    </row>
    <row r="269" spans="1:22" x14ac:dyDescent="0.3">
      <c r="A269" s="757">
        <f>'D-2 Off-Site Habitat Creation'!AF25</f>
        <v>0</v>
      </c>
      <c r="M269" s="757">
        <f>'E-2 Off-Site Hedge Creation'!AD26</f>
        <v>0</v>
      </c>
      <c r="V269" s="1">
        <f>'F-2 Off-Site WaterC'' Creation'!AG26</f>
        <v>0</v>
      </c>
    </row>
    <row r="270" spans="1:22" x14ac:dyDescent="0.3">
      <c r="A270" s="757">
        <f>'D-2 Off-Site Habitat Creation'!AF26</f>
        <v>0</v>
      </c>
      <c r="M270" s="757">
        <f>'E-2 Off-Site Hedge Creation'!AD27</f>
        <v>0</v>
      </c>
      <c r="V270" s="1">
        <f>'F-2 Off-Site WaterC'' Creation'!AG27</f>
        <v>0</v>
      </c>
    </row>
    <row r="271" spans="1:22" x14ac:dyDescent="0.3">
      <c r="A271" s="757">
        <f>'D-2 Off-Site Habitat Creation'!AF27</f>
        <v>0</v>
      </c>
      <c r="M271" s="757">
        <f>'E-2 Off-Site Hedge Creation'!AD28</f>
        <v>0</v>
      </c>
      <c r="V271" s="1">
        <f>'F-2 Off-Site WaterC'' Creation'!AG28</f>
        <v>0</v>
      </c>
    </row>
    <row r="272" spans="1:22" x14ac:dyDescent="0.3">
      <c r="A272" s="757">
        <f>'D-2 Off-Site Habitat Creation'!AF28</f>
        <v>0</v>
      </c>
      <c r="M272" s="757">
        <f>'E-2 Off-Site Hedge Creation'!AD29</f>
        <v>0</v>
      </c>
      <c r="V272" s="1">
        <f>'F-2 Off-Site WaterC'' Creation'!AG29</f>
        <v>0</v>
      </c>
    </row>
    <row r="273" spans="1:22" x14ac:dyDescent="0.3">
      <c r="A273" s="757">
        <f>'D-2 Off-Site Habitat Creation'!AF29</f>
        <v>0</v>
      </c>
      <c r="M273" s="757">
        <f>'E-2 Off-Site Hedge Creation'!AD30</f>
        <v>0</v>
      </c>
      <c r="V273" s="1">
        <f>'F-2 Off-Site WaterC'' Creation'!AG30</f>
        <v>0</v>
      </c>
    </row>
    <row r="274" spans="1:22" x14ac:dyDescent="0.3">
      <c r="A274" s="757">
        <f>'D-2 Off-Site Habitat Creation'!AF30</f>
        <v>0</v>
      </c>
      <c r="M274" s="757">
        <f>'E-2 Off-Site Hedge Creation'!AD31</f>
        <v>0</v>
      </c>
      <c r="V274" s="1">
        <f>'F-2 Off-Site WaterC'' Creation'!AG31</f>
        <v>0</v>
      </c>
    </row>
    <row r="275" spans="1:22" x14ac:dyDescent="0.3">
      <c r="A275" s="757">
        <f>'D-2 Off-Site Habitat Creation'!AF31</f>
        <v>0</v>
      </c>
      <c r="M275" s="757">
        <f>'E-2 Off-Site Hedge Creation'!AD32</f>
        <v>0</v>
      </c>
      <c r="V275" s="1">
        <f>'F-2 Off-Site WaterC'' Creation'!AG32</f>
        <v>0</v>
      </c>
    </row>
    <row r="276" spans="1:22" x14ac:dyDescent="0.3">
      <c r="A276" s="757">
        <f>'D-2 Off-Site Habitat Creation'!AF32</f>
        <v>0</v>
      </c>
      <c r="M276" s="757">
        <f>'E-2 Off-Site Hedge Creation'!AD33</f>
        <v>0</v>
      </c>
      <c r="V276" s="1">
        <f>'F-2 Off-Site WaterC'' Creation'!AG33</f>
        <v>0</v>
      </c>
    </row>
    <row r="277" spans="1:22" x14ac:dyDescent="0.3">
      <c r="A277" s="757">
        <f>'D-2 Off-Site Habitat Creation'!AF33</f>
        <v>0</v>
      </c>
      <c r="M277" s="757">
        <f>'E-2 Off-Site Hedge Creation'!AD34</f>
        <v>0</v>
      </c>
      <c r="V277" s="1">
        <f>'F-2 Off-Site WaterC'' Creation'!AG34</f>
        <v>0</v>
      </c>
    </row>
    <row r="278" spans="1:22" x14ac:dyDescent="0.3">
      <c r="A278" s="757">
        <f>'D-2 Off-Site Habitat Creation'!AF34</f>
        <v>0</v>
      </c>
      <c r="M278" s="757">
        <f>'E-2 Off-Site Hedge Creation'!AD35</f>
        <v>0</v>
      </c>
      <c r="V278" s="1">
        <f>'F-2 Off-Site WaterC'' Creation'!AG35</f>
        <v>0</v>
      </c>
    </row>
    <row r="279" spans="1:22" x14ac:dyDescent="0.3">
      <c r="A279" s="757">
        <f>'D-2 Off-Site Habitat Creation'!AF35</f>
        <v>0</v>
      </c>
      <c r="M279" s="757">
        <f>'E-2 Off-Site Hedge Creation'!AD36</f>
        <v>0</v>
      </c>
      <c r="V279" s="1">
        <f>'F-2 Off-Site WaterC'' Creation'!AG36</f>
        <v>0</v>
      </c>
    </row>
    <row r="280" spans="1:22" x14ac:dyDescent="0.3">
      <c r="A280" s="757">
        <f>'D-2 Off-Site Habitat Creation'!AF36</f>
        <v>0</v>
      </c>
      <c r="M280" s="757">
        <f>'E-2 Off-Site Hedge Creation'!AD37</f>
        <v>0</v>
      </c>
      <c r="V280" s="1">
        <f>'F-2 Off-Site WaterC'' Creation'!AG37</f>
        <v>0</v>
      </c>
    </row>
    <row r="281" spans="1:22" x14ac:dyDescent="0.3">
      <c r="A281" s="757">
        <f>'D-2 Off-Site Habitat Creation'!AF37</f>
        <v>0</v>
      </c>
      <c r="M281" s="757">
        <f>'E-2 Off-Site Hedge Creation'!AD38</f>
        <v>0</v>
      </c>
      <c r="V281" s="1">
        <f>'F-2 Off-Site WaterC'' Creation'!AG38</f>
        <v>0</v>
      </c>
    </row>
    <row r="282" spans="1:22" x14ac:dyDescent="0.3">
      <c r="A282" s="757">
        <f>'D-2 Off-Site Habitat Creation'!AF38</f>
        <v>0</v>
      </c>
      <c r="M282" s="757">
        <f>'E-2 Off-Site Hedge Creation'!AD39</f>
        <v>0</v>
      </c>
      <c r="V282" s="1">
        <f>'F-2 Off-Site WaterC'' Creation'!AG39</f>
        <v>0</v>
      </c>
    </row>
    <row r="283" spans="1:22" x14ac:dyDescent="0.3">
      <c r="A283" s="757">
        <f>'D-2 Off-Site Habitat Creation'!AF39</f>
        <v>0</v>
      </c>
      <c r="M283" s="757">
        <f>'E-2 Off-Site Hedge Creation'!AD40</f>
        <v>0</v>
      </c>
      <c r="V283" s="1">
        <f>'F-2 Off-Site WaterC'' Creation'!AG40</f>
        <v>0</v>
      </c>
    </row>
    <row r="284" spans="1:22" x14ac:dyDescent="0.3">
      <c r="A284" s="757">
        <f>'D-2 Off-Site Habitat Creation'!AF40</f>
        <v>0</v>
      </c>
      <c r="M284" s="757">
        <f>'E-2 Off-Site Hedge Creation'!AD41</f>
        <v>0</v>
      </c>
      <c r="V284" s="1">
        <f>'F-2 Off-Site WaterC'' Creation'!AG41</f>
        <v>0</v>
      </c>
    </row>
    <row r="285" spans="1:22" x14ac:dyDescent="0.3">
      <c r="A285" s="757">
        <f>'D-2 Off-Site Habitat Creation'!AF41</f>
        <v>0</v>
      </c>
      <c r="M285" s="757">
        <f>'E-2 Off-Site Hedge Creation'!AD42</f>
        <v>0</v>
      </c>
      <c r="V285" s="1">
        <f>'F-2 Off-Site WaterC'' Creation'!AG42</f>
        <v>0</v>
      </c>
    </row>
    <row r="286" spans="1:22" x14ac:dyDescent="0.3">
      <c r="A286" s="757">
        <f>'D-2 Off-Site Habitat Creation'!AF42</f>
        <v>0</v>
      </c>
      <c r="M286" s="757">
        <f>'E-2 Off-Site Hedge Creation'!AD43</f>
        <v>0</v>
      </c>
      <c r="V286" s="1">
        <f>'F-2 Off-Site WaterC'' Creation'!AG43</f>
        <v>0</v>
      </c>
    </row>
    <row r="287" spans="1:22" x14ac:dyDescent="0.3">
      <c r="A287" s="757">
        <f>'D-2 Off-Site Habitat Creation'!AF43</f>
        <v>0</v>
      </c>
      <c r="M287" s="757">
        <f>'E-2 Off-Site Hedge Creation'!AD44</f>
        <v>0</v>
      </c>
      <c r="V287" s="1">
        <f>'F-2 Off-Site WaterC'' Creation'!AG44</f>
        <v>0</v>
      </c>
    </row>
    <row r="288" spans="1:22" x14ac:dyDescent="0.3">
      <c r="A288" s="757">
        <f>'D-2 Off-Site Habitat Creation'!AF44</f>
        <v>0</v>
      </c>
      <c r="M288" s="757">
        <f>'E-2 Off-Site Hedge Creation'!AD45</f>
        <v>0</v>
      </c>
      <c r="V288" s="1">
        <f>'F-2 Off-Site WaterC'' Creation'!AG45</f>
        <v>0</v>
      </c>
    </row>
    <row r="289" spans="1:22" x14ac:dyDescent="0.3">
      <c r="A289" s="757">
        <f>'D-2 Off-Site Habitat Creation'!AF45</f>
        <v>0</v>
      </c>
      <c r="M289" s="757">
        <f>'E-2 Off-Site Hedge Creation'!AD46</f>
        <v>0</v>
      </c>
      <c r="V289" s="1">
        <f>'F-2 Off-Site WaterC'' Creation'!AG46</f>
        <v>0</v>
      </c>
    </row>
    <row r="290" spans="1:22" x14ac:dyDescent="0.3">
      <c r="A290" s="757">
        <f>'D-2 Off-Site Habitat Creation'!AF46</f>
        <v>0</v>
      </c>
      <c r="M290" s="757">
        <f>'E-2 Off-Site Hedge Creation'!AD47</f>
        <v>0</v>
      </c>
      <c r="V290" s="1">
        <f>'F-2 Off-Site WaterC'' Creation'!AG47</f>
        <v>0</v>
      </c>
    </row>
    <row r="291" spans="1:22" x14ac:dyDescent="0.3">
      <c r="A291" s="757">
        <f>'D-2 Off-Site Habitat Creation'!AF47</f>
        <v>0</v>
      </c>
      <c r="M291" s="757">
        <f>'E-2 Off-Site Hedge Creation'!AD48</f>
        <v>0</v>
      </c>
      <c r="V291" s="1">
        <f>'F-2 Off-Site WaterC'' Creation'!AG48</f>
        <v>0</v>
      </c>
    </row>
    <row r="292" spans="1:22" x14ac:dyDescent="0.3">
      <c r="A292" s="757">
        <f>'D-2 Off-Site Habitat Creation'!AF48</f>
        <v>0</v>
      </c>
      <c r="M292" s="757">
        <f>'E-2 Off-Site Hedge Creation'!AD49</f>
        <v>0</v>
      </c>
      <c r="V292" s="1">
        <f>'F-2 Off-Site WaterC'' Creation'!AG49</f>
        <v>0</v>
      </c>
    </row>
    <row r="293" spans="1:22" x14ac:dyDescent="0.3">
      <c r="A293" s="757">
        <f>'D-2 Off-Site Habitat Creation'!AF49</f>
        <v>0</v>
      </c>
      <c r="M293" s="757">
        <f>'E-2 Off-Site Hedge Creation'!AD50</f>
        <v>0</v>
      </c>
      <c r="V293" s="1">
        <f>'F-2 Off-Site WaterC'' Creation'!AG50</f>
        <v>0</v>
      </c>
    </row>
    <row r="294" spans="1:22" x14ac:dyDescent="0.3">
      <c r="A294" s="757">
        <f>'D-2 Off-Site Habitat Creation'!AF50</f>
        <v>0</v>
      </c>
      <c r="M294" s="757">
        <f>'E-2 Off-Site Hedge Creation'!AD51</f>
        <v>0</v>
      </c>
      <c r="V294" s="1">
        <f>'F-2 Off-Site WaterC'' Creation'!AG51</f>
        <v>0</v>
      </c>
    </row>
    <row r="295" spans="1:22" x14ac:dyDescent="0.3">
      <c r="A295" s="757">
        <f>'D-2 Off-Site Habitat Creation'!AF51</f>
        <v>0</v>
      </c>
      <c r="M295" s="757">
        <f>'E-2 Off-Site Hedge Creation'!AD52</f>
        <v>0</v>
      </c>
      <c r="V295" s="1">
        <f>'F-2 Off-Site WaterC'' Creation'!AG52</f>
        <v>0</v>
      </c>
    </row>
    <row r="296" spans="1:22" x14ac:dyDescent="0.3">
      <c r="A296" s="757">
        <f>'D-2 Off-Site Habitat Creation'!AF52</f>
        <v>0</v>
      </c>
      <c r="M296" s="757">
        <f>'E-2 Off-Site Hedge Creation'!AD53</f>
        <v>0</v>
      </c>
      <c r="V296" s="1">
        <f>'F-2 Off-Site WaterC'' Creation'!AG53</f>
        <v>0</v>
      </c>
    </row>
    <row r="297" spans="1:22" x14ac:dyDescent="0.3">
      <c r="A297" s="757">
        <f>'D-2 Off-Site Habitat Creation'!AF53</f>
        <v>0</v>
      </c>
      <c r="M297" s="757">
        <f>'E-2 Off-Site Hedge Creation'!AD54</f>
        <v>0</v>
      </c>
      <c r="V297" s="1">
        <f>'F-2 Off-Site WaterC'' Creation'!AG54</f>
        <v>0</v>
      </c>
    </row>
    <row r="298" spans="1:22" x14ac:dyDescent="0.3">
      <c r="A298" s="757">
        <f>'D-2 Off-Site Habitat Creation'!AF54</f>
        <v>0</v>
      </c>
      <c r="M298" s="757">
        <f>'E-2 Off-Site Hedge Creation'!AD55</f>
        <v>0</v>
      </c>
      <c r="V298" s="1">
        <f>'F-2 Off-Site WaterC'' Creation'!AG55</f>
        <v>0</v>
      </c>
    </row>
    <row r="299" spans="1:22" x14ac:dyDescent="0.3">
      <c r="A299" s="757">
        <f>'D-2 Off-Site Habitat Creation'!AF55</f>
        <v>0</v>
      </c>
      <c r="M299" s="757">
        <f>'E-2 Off-Site Hedge Creation'!AD56</f>
        <v>0</v>
      </c>
      <c r="V299" s="1">
        <f>'F-2 Off-Site WaterC'' Creation'!AG56</f>
        <v>0</v>
      </c>
    </row>
    <row r="300" spans="1:22" x14ac:dyDescent="0.3">
      <c r="A300" s="757">
        <f>'D-2 Off-Site Habitat Creation'!AF56</f>
        <v>0</v>
      </c>
      <c r="M300" s="757">
        <f>'E-2 Off-Site Hedge Creation'!AD57</f>
        <v>0</v>
      </c>
      <c r="V300" s="1">
        <f>'F-2 Off-Site WaterC'' Creation'!AG57</f>
        <v>0</v>
      </c>
    </row>
    <row r="301" spans="1:22" x14ac:dyDescent="0.3">
      <c r="A301" s="757">
        <f>'D-2 Off-Site Habitat Creation'!AF57</f>
        <v>0</v>
      </c>
      <c r="M301" s="757">
        <f>'E-2 Off-Site Hedge Creation'!AD58</f>
        <v>0</v>
      </c>
      <c r="V301" s="1">
        <f>'F-2 Off-Site WaterC'' Creation'!AG58</f>
        <v>0</v>
      </c>
    </row>
    <row r="302" spans="1:22" x14ac:dyDescent="0.3">
      <c r="A302" s="757">
        <f>'D-2 Off-Site Habitat Creation'!AF58</f>
        <v>0</v>
      </c>
      <c r="M302" s="757">
        <f>'E-2 Off-Site Hedge Creation'!AD59</f>
        <v>0</v>
      </c>
      <c r="V302" s="1">
        <f>'F-2 Off-Site WaterC'' Creation'!AG59</f>
        <v>0</v>
      </c>
    </row>
    <row r="303" spans="1:22" x14ac:dyDescent="0.3">
      <c r="A303" s="757">
        <f>'D-2 Off-Site Habitat Creation'!AF59</f>
        <v>0</v>
      </c>
      <c r="M303" s="757">
        <f>'E-2 Off-Site Hedge Creation'!AD60</f>
        <v>0</v>
      </c>
      <c r="V303" s="1">
        <f>'F-2 Off-Site WaterC'' Creation'!AG60</f>
        <v>0</v>
      </c>
    </row>
    <row r="304" spans="1:22" x14ac:dyDescent="0.3">
      <c r="A304" s="757">
        <f>'D-2 Off-Site Habitat Creation'!AF60</f>
        <v>0</v>
      </c>
      <c r="M304" s="757">
        <f>'E-2 Off-Site Hedge Creation'!AD61</f>
        <v>0</v>
      </c>
      <c r="V304" s="1">
        <f>'F-2 Off-Site WaterC'' Creation'!AG61</f>
        <v>0</v>
      </c>
    </row>
    <row r="305" spans="1:22" x14ac:dyDescent="0.3">
      <c r="A305" s="757">
        <f>'D-2 Off-Site Habitat Creation'!AF61</f>
        <v>0</v>
      </c>
      <c r="M305" s="757">
        <f>'E-2 Off-Site Hedge Creation'!AD62</f>
        <v>0</v>
      </c>
      <c r="V305" s="1">
        <f>'F-2 Off-Site WaterC'' Creation'!AG62</f>
        <v>0</v>
      </c>
    </row>
    <row r="306" spans="1:22" x14ac:dyDescent="0.3">
      <c r="A306" s="757">
        <f>'D-2 Off-Site Habitat Creation'!AF62</f>
        <v>0</v>
      </c>
      <c r="M306" s="757">
        <f>'E-2 Off-Site Hedge Creation'!AD63</f>
        <v>0</v>
      </c>
      <c r="V306" s="1">
        <f>'F-2 Off-Site WaterC'' Creation'!AG63</f>
        <v>0</v>
      </c>
    </row>
    <row r="307" spans="1:22" x14ac:dyDescent="0.3">
      <c r="A307" s="757">
        <f>'D-2 Off-Site Habitat Creation'!AF63</f>
        <v>0</v>
      </c>
      <c r="M307" s="757">
        <f>'E-2 Off-Site Hedge Creation'!AD64</f>
        <v>0</v>
      </c>
      <c r="V307" s="1">
        <f>'F-2 Off-Site WaterC'' Creation'!AG64</f>
        <v>0</v>
      </c>
    </row>
    <row r="308" spans="1:22" x14ac:dyDescent="0.3">
      <c r="A308" s="757">
        <f>'D-2 Off-Site Habitat Creation'!AF64</f>
        <v>0</v>
      </c>
      <c r="M308" s="757">
        <f>'E-2 Off-Site Hedge Creation'!AD65</f>
        <v>0</v>
      </c>
      <c r="V308" s="1">
        <f>'F-2 Off-Site WaterC'' Creation'!AG65</f>
        <v>0</v>
      </c>
    </row>
    <row r="309" spans="1:22" x14ac:dyDescent="0.3">
      <c r="A309" s="757">
        <f>'D-2 Off-Site Habitat Creation'!AF65</f>
        <v>0</v>
      </c>
      <c r="M309" s="757">
        <f>'E-2 Off-Site Hedge Creation'!AD66</f>
        <v>0</v>
      </c>
      <c r="V309" s="1">
        <f>'F-2 Off-Site WaterC'' Creation'!AG66</f>
        <v>0</v>
      </c>
    </row>
    <row r="310" spans="1:22" x14ac:dyDescent="0.3">
      <c r="A310" s="757">
        <f>'D-2 Off-Site Habitat Creation'!AF66</f>
        <v>0</v>
      </c>
      <c r="M310" s="757">
        <f>'E-2 Off-Site Hedge Creation'!AD67</f>
        <v>0</v>
      </c>
      <c r="V310" s="1">
        <f>'F-2 Off-Site WaterC'' Creation'!AG67</f>
        <v>0</v>
      </c>
    </row>
    <row r="311" spans="1:22" x14ac:dyDescent="0.3">
      <c r="A311" s="757">
        <f>'D-2 Off-Site Habitat Creation'!AF67</f>
        <v>0</v>
      </c>
      <c r="M311" s="757">
        <f>'E-2 Off-Site Hedge Creation'!AD68</f>
        <v>0</v>
      </c>
      <c r="V311" s="1">
        <f>'F-2 Off-Site WaterC'' Creation'!AG68</f>
        <v>0</v>
      </c>
    </row>
    <row r="312" spans="1:22" x14ac:dyDescent="0.3">
      <c r="A312" s="757">
        <f>'D-2 Off-Site Habitat Creation'!AF68</f>
        <v>0</v>
      </c>
      <c r="M312" s="757">
        <f>'E-2 Off-Site Hedge Creation'!AD69</f>
        <v>0</v>
      </c>
      <c r="V312" s="1">
        <f>'F-2 Off-Site WaterC'' Creation'!AG69</f>
        <v>0</v>
      </c>
    </row>
    <row r="313" spans="1:22" x14ac:dyDescent="0.3">
      <c r="A313" s="757">
        <f>'D-2 Off-Site Habitat Creation'!AF69</f>
        <v>0</v>
      </c>
      <c r="M313" s="757">
        <f>'E-2 Off-Site Hedge Creation'!AD70</f>
        <v>0</v>
      </c>
      <c r="V313" s="1">
        <f>'F-2 Off-Site WaterC'' Creation'!AG70</f>
        <v>0</v>
      </c>
    </row>
    <row r="314" spans="1:22" x14ac:dyDescent="0.3">
      <c r="A314" s="757">
        <f>'D-2 Off-Site Habitat Creation'!AF70</f>
        <v>0</v>
      </c>
      <c r="M314" s="757">
        <f>'E-2 Off-Site Hedge Creation'!AD71</f>
        <v>0</v>
      </c>
      <c r="V314" s="1">
        <f>'F-2 Off-Site WaterC'' Creation'!AG71</f>
        <v>0</v>
      </c>
    </row>
    <row r="315" spans="1:22" x14ac:dyDescent="0.3">
      <c r="A315" s="757">
        <f>'D-2 Off-Site Habitat Creation'!AF71</f>
        <v>0</v>
      </c>
      <c r="M315" s="757">
        <f>'E-2 Off-Site Hedge Creation'!AD72</f>
        <v>0</v>
      </c>
      <c r="V315" s="1">
        <f>'F-2 Off-Site WaterC'' Creation'!AG72</f>
        <v>0</v>
      </c>
    </row>
    <row r="316" spans="1:22" x14ac:dyDescent="0.3">
      <c r="A316" s="757">
        <f>'D-2 Off-Site Habitat Creation'!AF72</f>
        <v>0</v>
      </c>
      <c r="M316" s="757">
        <f>'E-2 Off-Site Hedge Creation'!AD73</f>
        <v>0</v>
      </c>
      <c r="V316" s="1">
        <f>'F-2 Off-Site WaterC'' Creation'!AG73</f>
        <v>0</v>
      </c>
    </row>
    <row r="317" spans="1:22" x14ac:dyDescent="0.3">
      <c r="A317" s="757">
        <f>'D-2 Off-Site Habitat Creation'!AF73</f>
        <v>0</v>
      </c>
      <c r="M317" s="757">
        <f>'E-2 Off-Site Hedge Creation'!AD74</f>
        <v>0</v>
      </c>
      <c r="V317" s="1">
        <f>'F-2 Off-Site WaterC'' Creation'!AG74</f>
        <v>0</v>
      </c>
    </row>
    <row r="318" spans="1:22" x14ac:dyDescent="0.3">
      <c r="A318" s="757">
        <f>'D-2 Off-Site Habitat Creation'!AF74</f>
        <v>0</v>
      </c>
      <c r="M318" s="757">
        <f>'E-2 Off-Site Hedge Creation'!AD75</f>
        <v>0</v>
      </c>
      <c r="V318" s="1">
        <f>'F-2 Off-Site WaterC'' Creation'!AG75</f>
        <v>0</v>
      </c>
    </row>
    <row r="319" spans="1:22" x14ac:dyDescent="0.3">
      <c r="A319" s="757">
        <f>'D-2 Off-Site Habitat Creation'!AF75</f>
        <v>0</v>
      </c>
      <c r="M319" s="757">
        <f>'E-2 Off-Site Hedge Creation'!AD76</f>
        <v>0</v>
      </c>
      <c r="V319" s="1">
        <f>'F-2 Off-Site WaterC'' Creation'!AG76</f>
        <v>0</v>
      </c>
    </row>
    <row r="320" spans="1:22" x14ac:dyDescent="0.3">
      <c r="A320" s="757">
        <f>'D-2 Off-Site Habitat Creation'!AF76</f>
        <v>0</v>
      </c>
      <c r="M320" s="757">
        <f>'E-2 Off-Site Hedge Creation'!AD77</f>
        <v>0</v>
      </c>
      <c r="V320" s="1">
        <f>'F-2 Off-Site WaterC'' Creation'!AG77</f>
        <v>0</v>
      </c>
    </row>
    <row r="321" spans="1:22" x14ac:dyDescent="0.3">
      <c r="A321" s="757">
        <f>'D-2 Off-Site Habitat Creation'!AF77</f>
        <v>0</v>
      </c>
      <c r="M321" s="757">
        <f>'E-2 Off-Site Hedge Creation'!AD78</f>
        <v>0</v>
      </c>
      <c r="V321" s="1">
        <f>'F-2 Off-Site WaterC'' Creation'!AG78</f>
        <v>0</v>
      </c>
    </row>
    <row r="322" spans="1:22" x14ac:dyDescent="0.3">
      <c r="A322" s="757">
        <f>'D-2 Off-Site Habitat Creation'!AF78</f>
        <v>0</v>
      </c>
      <c r="M322" s="757">
        <f>'E-2 Off-Site Hedge Creation'!AD79</f>
        <v>0</v>
      </c>
      <c r="V322" s="1">
        <f>'F-2 Off-Site WaterC'' Creation'!AG79</f>
        <v>0</v>
      </c>
    </row>
    <row r="323" spans="1:22" x14ac:dyDescent="0.3">
      <c r="A323" s="757">
        <f>'D-2 Off-Site Habitat Creation'!AF79</f>
        <v>0</v>
      </c>
      <c r="M323" s="757">
        <f>'E-2 Off-Site Hedge Creation'!AD80</f>
        <v>0</v>
      </c>
      <c r="V323" s="1">
        <f>'F-2 Off-Site WaterC'' Creation'!AG80</f>
        <v>0</v>
      </c>
    </row>
    <row r="324" spans="1:22" x14ac:dyDescent="0.3">
      <c r="A324" s="757">
        <f>'D-2 Off-Site Habitat Creation'!AF80</f>
        <v>0</v>
      </c>
      <c r="M324" s="757">
        <f>'E-2 Off-Site Hedge Creation'!AD81</f>
        <v>0</v>
      </c>
      <c r="V324" s="1">
        <f>'F-2 Off-Site WaterC'' Creation'!AG81</f>
        <v>0</v>
      </c>
    </row>
    <row r="325" spans="1:22" x14ac:dyDescent="0.3">
      <c r="A325" s="757">
        <f>'D-2 Off-Site Habitat Creation'!AF81</f>
        <v>0</v>
      </c>
      <c r="M325" s="757">
        <f>'E-2 Off-Site Hedge Creation'!AD82</f>
        <v>0</v>
      </c>
      <c r="V325" s="1">
        <f>'F-2 Off-Site WaterC'' Creation'!AG82</f>
        <v>0</v>
      </c>
    </row>
    <row r="326" spans="1:22" x14ac:dyDescent="0.3">
      <c r="A326" s="757">
        <f>'D-2 Off-Site Habitat Creation'!AF82</f>
        <v>0</v>
      </c>
      <c r="M326" s="757">
        <f>'E-2 Off-Site Hedge Creation'!AD83</f>
        <v>0</v>
      </c>
      <c r="V326" s="1">
        <f>'F-2 Off-Site WaterC'' Creation'!AG83</f>
        <v>0</v>
      </c>
    </row>
    <row r="327" spans="1:22" x14ac:dyDescent="0.3">
      <c r="A327" s="757">
        <f>'D-2 Off-Site Habitat Creation'!AF83</f>
        <v>0</v>
      </c>
      <c r="M327" s="757">
        <f>'E-2 Off-Site Hedge Creation'!AD84</f>
        <v>0</v>
      </c>
      <c r="V327" s="1">
        <f>'F-2 Off-Site WaterC'' Creation'!AG84</f>
        <v>0</v>
      </c>
    </row>
    <row r="328" spans="1:22" x14ac:dyDescent="0.3">
      <c r="A328" s="757">
        <f>'D-2 Off-Site Habitat Creation'!AF84</f>
        <v>0</v>
      </c>
      <c r="M328" s="757">
        <f>'E-2 Off-Site Hedge Creation'!AD85</f>
        <v>0</v>
      </c>
      <c r="V328" s="1">
        <f>'F-2 Off-Site WaterC'' Creation'!AG85</f>
        <v>0</v>
      </c>
    </row>
    <row r="329" spans="1:22" x14ac:dyDescent="0.3">
      <c r="A329" s="757">
        <f>'D-2 Off-Site Habitat Creation'!AF85</f>
        <v>0</v>
      </c>
      <c r="M329" s="757">
        <f>'E-2 Off-Site Hedge Creation'!AD86</f>
        <v>0</v>
      </c>
      <c r="V329" s="1">
        <f>'F-2 Off-Site WaterC'' Creation'!AG86</f>
        <v>0</v>
      </c>
    </row>
    <row r="330" spans="1:22" x14ac:dyDescent="0.3">
      <c r="A330" s="757">
        <f>'D-2 Off-Site Habitat Creation'!AF86</f>
        <v>0</v>
      </c>
      <c r="M330" s="757">
        <f>'E-2 Off-Site Hedge Creation'!AD87</f>
        <v>0</v>
      </c>
      <c r="V330" s="1">
        <f>'F-2 Off-Site WaterC'' Creation'!AG87</f>
        <v>0</v>
      </c>
    </row>
    <row r="331" spans="1:22" x14ac:dyDescent="0.3">
      <c r="A331" s="757">
        <f>'D-2 Off-Site Habitat Creation'!AF87</f>
        <v>0</v>
      </c>
      <c r="M331" s="757">
        <f>'E-2 Off-Site Hedge Creation'!AD88</f>
        <v>0</v>
      </c>
      <c r="V331" s="1">
        <f>'F-2 Off-Site WaterC'' Creation'!AG88</f>
        <v>0</v>
      </c>
    </row>
    <row r="332" spans="1:22" x14ac:dyDescent="0.3">
      <c r="A332" s="757">
        <f>'D-2 Off-Site Habitat Creation'!AF88</f>
        <v>0</v>
      </c>
      <c r="M332" s="757">
        <f>'E-2 Off-Site Hedge Creation'!AD89</f>
        <v>0</v>
      </c>
      <c r="V332" s="1">
        <f>'F-2 Off-Site WaterC'' Creation'!AG89</f>
        <v>0</v>
      </c>
    </row>
    <row r="333" spans="1:22" x14ac:dyDescent="0.3">
      <c r="A333" s="757">
        <f>'D-2 Off-Site Habitat Creation'!AF89</f>
        <v>0</v>
      </c>
      <c r="M333" s="757">
        <f>'E-2 Off-Site Hedge Creation'!AD90</f>
        <v>0</v>
      </c>
      <c r="V333" s="1">
        <f>'F-2 Off-Site WaterC'' Creation'!AG90</f>
        <v>0</v>
      </c>
    </row>
    <row r="334" spans="1:22" x14ac:dyDescent="0.3">
      <c r="A334" s="757">
        <f>'D-2 Off-Site Habitat Creation'!AF90</f>
        <v>0</v>
      </c>
      <c r="M334" s="757">
        <f>'E-2 Off-Site Hedge Creation'!AD91</f>
        <v>0</v>
      </c>
      <c r="V334" s="1">
        <f>'F-2 Off-Site WaterC'' Creation'!AG91</f>
        <v>0</v>
      </c>
    </row>
    <row r="335" spans="1:22" x14ac:dyDescent="0.3">
      <c r="A335" s="757">
        <f>'D-2 Off-Site Habitat Creation'!AF91</f>
        <v>0</v>
      </c>
      <c r="M335" s="757">
        <f>'E-2 Off-Site Hedge Creation'!AD92</f>
        <v>0</v>
      </c>
      <c r="V335" s="1">
        <f>'F-2 Off-Site WaterC'' Creation'!AG92</f>
        <v>0</v>
      </c>
    </row>
    <row r="336" spans="1:22" x14ac:dyDescent="0.3">
      <c r="A336" s="757">
        <f>'D-2 Off-Site Habitat Creation'!AF92</f>
        <v>0</v>
      </c>
      <c r="M336" s="757">
        <f>'E-2 Off-Site Hedge Creation'!AD93</f>
        <v>0</v>
      </c>
      <c r="V336" s="1">
        <f>'F-2 Off-Site WaterC'' Creation'!AG93</f>
        <v>0</v>
      </c>
    </row>
    <row r="337" spans="1:22" x14ac:dyDescent="0.3">
      <c r="A337" s="757">
        <f>'D-2 Off-Site Habitat Creation'!AF93</f>
        <v>0</v>
      </c>
      <c r="M337" s="757">
        <f>'E-2 Off-Site Hedge Creation'!AD94</f>
        <v>0</v>
      </c>
      <c r="V337" s="1">
        <f>'F-2 Off-Site WaterC'' Creation'!AG94</f>
        <v>0</v>
      </c>
    </row>
    <row r="338" spans="1:22" x14ac:dyDescent="0.3">
      <c r="A338" s="757">
        <f>'D-2 Off-Site Habitat Creation'!AF94</f>
        <v>0</v>
      </c>
      <c r="M338" s="757">
        <f>'E-2 Off-Site Hedge Creation'!AD95</f>
        <v>0</v>
      </c>
      <c r="V338" s="1">
        <f>'F-2 Off-Site WaterC'' Creation'!AG95</f>
        <v>0</v>
      </c>
    </row>
    <row r="339" spans="1:22" x14ac:dyDescent="0.3">
      <c r="A339" s="757">
        <f>'D-2 Off-Site Habitat Creation'!AF95</f>
        <v>0</v>
      </c>
      <c r="M339" s="757">
        <f>'E-2 Off-Site Hedge Creation'!AD96</f>
        <v>0</v>
      </c>
      <c r="V339" s="1">
        <f>'F-2 Off-Site WaterC'' Creation'!AG96</f>
        <v>0</v>
      </c>
    </row>
    <row r="340" spans="1:22" x14ac:dyDescent="0.3">
      <c r="A340" s="757">
        <f>'D-2 Off-Site Habitat Creation'!AF96</f>
        <v>0</v>
      </c>
      <c r="M340" s="757">
        <f>'E-2 Off-Site Hedge Creation'!AD97</f>
        <v>0</v>
      </c>
      <c r="V340" s="1">
        <f>'F-2 Off-Site WaterC'' Creation'!AG97</f>
        <v>0</v>
      </c>
    </row>
    <row r="341" spans="1:22" x14ac:dyDescent="0.3">
      <c r="A341" s="757">
        <f>'D-2 Off-Site Habitat Creation'!AF97</f>
        <v>0</v>
      </c>
      <c r="M341" s="757">
        <f>'E-2 Off-Site Hedge Creation'!AD98</f>
        <v>0</v>
      </c>
      <c r="V341" s="1">
        <f>'F-2 Off-Site WaterC'' Creation'!AG98</f>
        <v>0</v>
      </c>
    </row>
    <row r="342" spans="1:22" x14ac:dyDescent="0.3">
      <c r="A342" s="757">
        <f>'D-2 Off-Site Habitat Creation'!AF98</f>
        <v>0</v>
      </c>
      <c r="M342" s="757">
        <f>'E-2 Off-Site Hedge Creation'!AD99</f>
        <v>0</v>
      </c>
      <c r="V342" s="1">
        <f>'F-2 Off-Site WaterC'' Creation'!AG99</f>
        <v>0</v>
      </c>
    </row>
    <row r="343" spans="1:22" x14ac:dyDescent="0.3">
      <c r="A343" s="757">
        <f>'D-2 Off-Site Habitat Creation'!AF99</f>
        <v>0</v>
      </c>
      <c r="M343" s="757">
        <f>'E-2 Off-Site Hedge Creation'!AD100</f>
        <v>0</v>
      </c>
      <c r="V343" s="1">
        <f>'F-2 Off-Site WaterC'' Creation'!AG100</f>
        <v>0</v>
      </c>
    </row>
    <row r="344" spans="1:22" x14ac:dyDescent="0.3">
      <c r="A344" s="757">
        <f>'D-2 Off-Site Habitat Creation'!AF100</f>
        <v>0</v>
      </c>
      <c r="M344" s="757">
        <f>'E-2 Off-Site Hedge Creation'!AD101</f>
        <v>0</v>
      </c>
      <c r="V344" s="1">
        <f>'F-2 Off-Site WaterC'' Creation'!AG101</f>
        <v>0</v>
      </c>
    </row>
    <row r="345" spans="1:22" x14ac:dyDescent="0.3">
      <c r="A345" s="757">
        <f>'D-2 Off-Site Habitat Creation'!AF101</f>
        <v>0</v>
      </c>
      <c r="M345" s="757">
        <f>'E-2 Off-Site Hedge Creation'!AD102</f>
        <v>0</v>
      </c>
      <c r="V345" s="1">
        <f>'F-2 Off-Site WaterC'' Creation'!AG102</f>
        <v>0</v>
      </c>
    </row>
    <row r="346" spans="1:22" x14ac:dyDescent="0.3">
      <c r="A346" s="757">
        <f>'D-2 Off-Site Habitat Creation'!AF102</f>
        <v>0</v>
      </c>
      <c r="M346" s="757">
        <f>'E-2 Off-Site Hedge Creation'!AD103</f>
        <v>0</v>
      </c>
      <c r="V346" s="1">
        <f>'F-2 Off-Site WaterC'' Creation'!AG103</f>
        <v>0</v>
      </c>
    </row>
    <row r="347" spans="1:22" x14ac:dyDescent="0.3">
      <c r="A347" s="757">
        <f>'D-2 Off-Site Habitat Creation'!AF103</f>
        <v>0</v>
      </c>
      <c r="M347" s="757">
        <f>'E-2 Off-Site Hedge Creation'!AD104</f>
        <v>0</v>
      </c>
      <c r="V347" s="1">
        <f>'F-2 Off-Site WaterC'' Creation'!AG104</f>
        <v>0</v>
      </c>
    </row>
    <row r="348" spans="1:22" x14ac:dyDescent="0.3">
      <c r="A348" s="757">
        <f>'D-2 Off-Site Habitat Creation'!AF104</f>
        <v>0</v>
      </c>
      <c r="M348" s="757">
        <f>'E-2 Off-Site Hedge Creation'!AD105</f>
        <v>0</v>
      </c>
      <c r="V348" s="1">
        <f>'F-2 Off-Site WaterC'' Creation'!AG105</f>
        <v>0</v>
      </c>
    </row>
    <row r="349" spans="1:22" x14ac:dyDescent="0.3">
      <c r="A349" s="757">
        <f>'D-2 Off-Site Habitat Creation'!AF105</f>
        <v>0</v>
      </c>
      <c r="M349" s="757">
        <f>'E-2 Off-Site Hedge Creation'!AD106</f>
        <v>0</v>
      </c>
      <c r="V349" s="1">
        <f>'F-2 Off-Site WaterC'' Creation'!AG106</f>
        <v>0</v>
      </c>
    </row>
    <row r="350" spans="1:22" x14ac:dyDescent="0.3">
      <c r="A350" s="757">
        <f>'D-2 Off-Site Habitat Creation'!AF106</f>
        <v>0</v>
      </c>
      <c r="M350" s="757">
        <f>'E-2 Off-Site Hedge Creation'!AD107</f>
        <v>0</v>
      </c>
      <c r="V350" s="1">
        <f>'F-2 Off-Site WaterC'' Creation'!AG107</f>
        <v>0</v>
      </c>
    </row>
    <row r="351" spans="1:22" x14ac:dyDescent="0.3">
      <c r="A351" s="757">
        <f>'D-2 Off-Site Habitat Creation'!AF107</f>
        <v>0</v>
      </c>
      <c r="M351" s="757">
        <f>'E-2 Off-Site Hedge Creation'!AD108</f>
        <v>0</v>
      </c>
      <c r="V351" s="1">
        <f>'F-2 Off-Site WaterC'' Creation'!AG108</f>
        <v>0</v>
      </c>
    </row>
    <row r="352" spans="1:22" x14ac:dyDescent="0.3">
      <c r="A352" s="757">
        <f>'D-2 Off-Site Habitat Creation'!AF108</f>
        <v>0</v>
      </c>
      <c r="M352" s="757">
        <f>'E-2 Off-Site Hedge Creation'!AD109</f>
        <v>0</v>
      </c>
      <c r="V352" s="1">
        <f>'F-2 Off-Site WaterC'' Creation'!AG109</f>
        <v>0</v>
      </c>
    </row>
    <row r="353" spans="1:22" x14ac:dyDescent="0.3">
      <c r="A353" s="757">
        <f>'D-2 Off-Site Habitat Creation'!AF109</f>
        <v>0</v>
      </c>
      <c r="M353" s="757">
        <f>'E-2 Off-Site Hedge Creation'!AD110</f>
        <v>0</v>
      </c>
      <c r="V353" s="1">
        <f>'F-2 Off-Site WaterC'' Creation'!AG110</f>
        <v>0</v>
      </c>
    </row>
    <row r="354" spans="1:22" x14ac:dyDescent="0.3">
      <c r="A354" s="757">
        <f>'D-2 Off-Site Habitat Creation'!AF110</f>
        <v>0</v>
      </c>
      <c r="M354" s="757">
        <f>'E-2 Off-Site Hedge Creation'!AD111</f>
        <v>0</v>
      </c>
      <c r="V354" s="1">
        <f>'F-2 Off-Site WaterC'' Creation'!AG111</f>
        <v>0</v>
      </c>
    </row>
    <row r="355" spans="1:22" x14ac:dyDescent="0.3">
      <c r="A355" s="757">
        <f>'D-2 Off-Site Habitat Creation'!AF111</f>
        <v>0</v>
      </c>
      <c r="M355" s="757">
        <f>'E-2 Off-Site Hedge Creation'!AD112</f>
        <v>0</v>
      </c>
      <c r="V355" s="1">
        <f>'F-2 Off-Site WaterC'' Creation'!AG112</f>
        <v>0</v>
      </c>
    </row>
    <row r="356" spans="1:22" x14ac:dyDescent="0.3">
      <c r="A356" s="757">
        <f>'D-2 Off-Site Habitat Creation'!AF112</f>
        <v>0</v>
      </c>
      <c r="M356" s="757">
        <f>'E-2 Off-Site Hedge Creation'!AD113</f>
        <v>0</v>
      </c>
      <c r="V356" s="1">
        <f>'F-2 Off-Site WaterC'' Creation'!AG113</f>
        <v>0</v>
      </c>
    </row>
    <row r="357" spans="1:22" x14ac:dyDescent="0.3">
      <c r="A357" s="757">
        <f>'D-2 Off-Site Habitat Creation'!AF113</f>
        <v>0</v>
      </c>
      <c r="M357" s="757">
        <f>'E-2 Off-Site Hedge Creation'!AD114</f>
        <v>0</v>
      </c>
      <c r="V357" s="1">
        <f>'F-2 Off-Site WaterC'' Creation'!AG114</f>
        <v>0</v>
      </c>
    </row>
    <row r="358" spans="1:22" x14ac:dyDescent="0.3">
      <c r="A358" s="757">
        <f>'D-2 Off-Site Habitat Creation'!AF114</f>
        <v>0</v>
      </c>
      <c r="M358" s="757">
        <f>'E-2 Off-Site Hedge Creation'!AD115</f>
        <v>0</v>
      </c>
      <c r="V358" s="1">
        <f>'F-2 Off-Site WaterC'' Creation'!AG115</f>
        <v>0</v>
      </c>
    </row>
    <row r="359" spans="1:22" x14ac:dyDescent="0.3">
      <c r="A359" s="757">
        <f>'D-2 Off-Site Habitat Creation'!AF115</f>
        <v>0</v>
      </c>
      <c r="M359" s="757">
        <f>'E-2 Off-Site Hedge Creation'!AD116</f>
        <v>0</v>
      </c>
      <c r="V359" s="1">
        <f>'F-2 Off-Site WaterC'' Creation'!AG116</f>
        <v>0</v>
      </c>
    </row>
    <row r="360" spans="1:22" x14ac:dyDescent="0.3">
      <c r="A360" s="757">
        <f>'D-2 Off-Site Habitat Creation'!AF116</f>
        <v>0</v>
      </c>
      <c r="M360" s="757">
        <f>'E-2 Off-Site Hedge Creation'!AD117</f>
        <v>0</v>
      </c>
      <c r="V360" s="1">
        <f>'F-2 Off-Site WaterC'' Creation'!AG117</f>
        <v>0</v>
      </c>
    </row>
    <row r="361" spans="1:22" x14ac:dyDescent="0.3">
      <c r="A361" s="757">
        <f>'D-2 Off-Site Habitat Creation'!AF117</f>
        <v>0</v>
      </c>
      <c r="M361" s="757">
        <f>'E-2 Off-Site Hedge Creation'!AD118</f>
        <v>0</v>
      </c>
      <c r="V361" s="1">
        <f>'F-2 Off-Site WaterC'' Creation'!AG118</f>
        <v>0</v>
      </c>
    </row>
    <row r="362" spans="1:22" x14ac:dyDescent="0.3">
      <c r="A362" s="757">
        <f>'D-2 Off-Site Habitat Creation'!AF118</f>
        <v>0</v>
      </c>
      <c r="M362" s="757">
        <f>'E-2 Off-Site Hedge Creation'!AD119</f>
        <v>0</v>
      </c>
      <c r="V362" s="1">
        <f>'F-2 Off-Site WaterC'' Creation'!AG119</f>
        <v>0</v>
      </c>
    </row>
    <row r="363" spans="1:22" x14ac:dyDescent="0.3">
      <c r="A363" s="757">
        <f>'D-2 Off-Site Habitat Creation'!AF119</f>
        <v>0</v>
      </c>
      <c r="M363" s="757">
        <f>'E-2 Off-Site Hedge Creation'!AD120</f>
        <v>0</v>
      </c>
      <c r="V363" s="1">
        <f>'F-2 Off-Site WaterC'' Creation'!AG120</f>
        <v>0</v>
      </c>
    </row>
    <row r="364" spans="1:22" x14ac:dyDescent="0.3">
      <c r="A364" s="757">
        <f>'D-2 Off-Site Habitat Creation'!AF120</f>
        <v>0</v>
      </c>
      <c r="M364" s="757">
        <f>'E-2 Off-Site Hedge Creation'!AD121</f>
        <v>0</v>
      </c>
      <c r="V364" s="1">
        <f>'F-2 Off-Site WaterC'' Creation'!AG121</f>
        <v>0</v>
      </c>
    </row>
    <row r="365" spans="1:22" x14ac:dyDescent="0.3">
      <c r="A365" s="757">
        <f>'D-2 Off-Site Habitat Creation'!AF121</f>
        <v>0</v>
      </c>
      <c r="M365" s="757">
        <f>'E-2 Off-Site Hedge Creation'!AD122</f>
        <v>0</v>
      </c>
      <c r="V365" s="1">
        <f>'F-2 Off-Site WaterC'' Creation'!AG122</f>
        <v>0</v>
      </c>
    </row>
    <row r="366" spans="1:22" x14ac:dyDescent="0.3">
      <c r="A366" s="757">
        <f>'D-2 Off-Site Habitat Creation'!AF122</f>
        <v>0</v>
      </c>
      <c r="M366" s="757">
        <f>'E-2 Off-Site Hedge Creation'!AD123</f>
        <v>0</v>
      </c>
      <c r="V366" s="1">
        <f>'F-2 Off-Site WaterC'' Creation'!AG123</f>
        <v>0</v>
      </c>
    </row>
    <row r="367" spans="1:22" x14ac:dyDescent="0.3">
      <c r="A367" s="757">
        <f>'D-2 Off-Site Habitat Creation'!AF123</f>
        <v>0</v>
      </c>
      <c r="M367" s="757">
        <f>'E-2 Off-Site Hedge Creation'!AD124</f>
        <v>0</v>
      </c>
      <c r="V367" s="1">
        <f>'F-2 Off-Site WaterC'' Creation'!AG124</f>
        <v>0</v>
      </c>
    </row>
    <row r="368" spans="1:22" x14ac:dyDescent="0.3">
      <c r="A368" s="757">
        <f>'D-2 Off-Site Habitat Creation'!AF124</f>
        <v>0</v>
      </c>
      <c r="M368" s="757">
        <f>'E-2 Off-Site Hedge Creation'!AD125</f>
        <v>0</v>
      </c>
      <c r="V368" s="1">
        <f>'F-2 Off-Site WaterC'' Creation'!AG125</f>
        <v>0</v>
      </c>
    </row>
    <row r="369" spans="1:22" x14ac:dyDescent="0.3">
      <c r="A369" s="757">
        <f>'D-2 Off-Site Habitat Creation'!AF125</f>
        <v>0</v>
      </c>
      <c r="M369" s="757">
        <f>'E-2 Off-Site Hedge Creation'!AD126</f>
        <v>0</v>
      </c>
      <c r="V369" s="1">
        <f>'F-2 Off-Site WaterC'' Creation'!AG126</f>
        <v>0</v>
      </c>
    </row>
    <row r="370" spans="1:22" x14ac:dyDescent="0.3">
      <c r="A370" s="757">
        <f>'D-2 Off-Site Habitat Creation'!AF126</f>
        <v>0</v>
      </c>
      <c r="M370" s="757">
        <f>'E-2 Off-Site Hedge Creation'!AD127</f>
        <v>0</v>
      </c>
      <c r="V370" s="1">
        <f>'F-2 Off-Site WaterC'' Creation'!AG127</f>
        <v>0</v>
      </c>
    </row>
    <row r="371" spans="1:22" x14ac:dyDescent="0.3">
      <c r="A371" s="757">
        <f>'D-2 Off-Site Habitat Creation'!AF127</f>
        <v>0</v>
      </c>
      <c r="M371" s="757">
        <f>'E-2 Off-Site Hedge Creation'!AD128</f>
        <v>0</v>
      </c>
      <c r="V371" s="1">
        <f>'F-2 Off-Site WaterC'' Creation'!AG128</f>
        <v>0</v>
      </c>
    </row>
    <row r="372" spans="1:22" x14ac:dyDescent="0.3">
      <c r="A372" s="757">
        <f>'D-2 Off-Site Habitat Creation'!AF128</f>
        <v>0</v>
      </c>
      <c r="M372" s="757">
        <f>'E-2 Off-Site Hedge Creation'!AD129</f>
        <v>0</v>
      </c>
      <c r="V372" s="1">
        <f>'F-2 Off-Site WaterC'' Creation'!AG129</f>
        <v>0</v>
      </c>
    </row>
    <row r="373" spans="1:22" x14ac:dyDescent="0.3">
      <c r="A373" s="757">
        <f>'D-2 Off-Site Habitat Creation'!AF129</f>
        <v>0</v>
      </c>
      <c r="M373" s="757">
        <f>'E-2 Off-Site Hedge Creation'!AD130</f>
        <v>0</v>
      </c>
      <c r="V373" s="1">
        <f>'F-2 Off-Site WaterC'' Creation'!AG130</f>
        <v>0</v>
      </c>
    </row>
    <row r="374" spans="1:22" x14ac:dyDescent="0.3">
      <c r="A374" s="757">
        <f>'D-2 Off-Site Habitat Creation'!AF130</f>
        <v>0</v>
      </c>
      <c r="M374" s="757">
        <f>'E-2 Off-Site Hedge Creation'!AD131</f>
        <v>0</v>
      </c>
      <c r="V374" s="1">
        <f>'F-2 Off-Site WaterC'' Creation'!AG131</f>
        <v>0</v>
      </c>
    </row>
    <row r="375" spans="1:22" x14ac:dyDescent="0.3">
      <c r="A375" s="757">
        <f>'D-2 Off-Site Habitat Creation'!AF131</f>
        <v>0</v>
      </c>
      <c r="M375" s="757">
        <f>'E-2 Off-Site Hedge Creation'!AD132</f>
        <v>0</v>
      </c>
      <c r="V375" s="1">
        <f>'F-2 Off-Site WaterC'' Creation'!AG132</f>
        <v>0</v>
      </c>
    </row>
    <row r="376" spans="1:22" x14ac:dyDescent="0.3">
      <c r="A376" s="757">
        <f>'D-2 Off-Site Habitat Creation'!AF132</f>
        <v>0</v>
      </c>
      <c r="M376" s="757">
        <f>'E-2 Off-Site Hedge Creation'!AD133</f>
        <v>0</v>
      </c>
      <c r="V376" s="1">
        <f>'F-2 Off-Site WaterC'' Creation'!AG133</f>
        <v>0</v>
      </c>
    </row>
    <row r="377" spans="1:22" x14ac:dyDescent="0.3">
      <c r="A377" s="757">
        <f>'D-2 Off-Site Habitat Creation'!AF133</f>
        <v>0</v>
      </c>
      <c r="M377" s="757">
        <f>'E-2 Off-Site Hedge Creation'!AD134</f>
        <v>0</v>
      </c>
      <c r="V377" s="1">
        <f>'F-2 Off-Site WaterC'' Creation'!AG134</f>
        <v>0</v>
      </c>
    </row>
    <row r="378" spans="1:22" x14ac:dyDescent="0.3">
      <c r="A378" s="757">
        <f>'D-2 Off-Site Habitat Creation'!AF134</f>
        <v>0</v>
      </c>
      <c r="M378" s="757">
        <f>'E-2 Off-Site Hedge Creation'!AD135</f>
        <v>0</v>
      </c>
      <c r="V378" s="1">
        <f>'F-2 Off-Site WaterC'' Creation'!AG135</f>
        <v>0</v>
      </c>
    </row>
    <row r="379" spans="1:22" x14ac:dyDescent="0.3">
      <c r="A379" s="757">
        <f>'D-2 Off-Site Habitat Creation'!AF135</f>
        <v>0</v>
      </c>
      <c r="M379" s="757">
        <f>'E-2 Off-Site Hedge Creation'!AD136</f>
        <v>0</v>
      </c>
      <c r="V379" s="1">
        <f>'F-2 Off-Site WaterC'' Creation'!AG136</f>
        <v>0</v>
      </c>
    </row>
    <row r="380" spans="1:22" x14ac:dyDescent="0.3">
      <c r="A380" s="757">
        <f>'D-2 Off-Site Habitat Creation'!AF136</f>
        <v>0</v>
      </c>
      <c r="M380" s="757">
        <f>'E-2 Off-Site Hedge Creation'!AD137</f>
        <v>0</v>
      </c>
      <c r="V380" s="1">
        <f>'F-2 Off-Site WaterC'' Creation'!AG137</f>
        <v>0</v>
      </c>
    </row>
    <row r="381" spans="1:22" x14ac:dyDescent="0.3">
      <c r="A381" s="757">
        <f>'D-2 Off-Site Habitat Creation'!AF137</f>
        <v>0</v>
      </c>
      <c r="M381" s="757">
        <f>'E-2 Off-Site Hedge Creation'!AD138</f>
        <v>0</v>
      </c>
      <c r="V381" s="1">
        <f>'F-2 Off-Site WaterC'' Creation'!AG138</f>
        <v>0</v>
      </c>
    </row>
    <row r="382" spans="1:22" x14ac:dyDescent="0.3">
      <c r="A382" s="757">
        <f>'D-2 Off-Site Habitat Creation'!AF138</f>
        <v>0</v>
      </c>
      <c r="M382" s="757">
        <f>'E-2 Off-Site Hedge Creation'!AD139</f>
        <v>0</v>
      </c>
      <c r="V382" s="1">
        <f>'F-2 Off-Site WaterC'' Creation'!AG139</f>
        <v>0</v>
      </c>
    </row>
    <row r="383" spans="1:22" x14ac:dyDescent="0.3">
      <c r="A383" s="757">
        <f>'D-2 Off-Site Habitat Creation'!AF139</f>
        <v>0</v>
      </c>
      <c r="M383" s="757">
        <f>'E-2 Off-Site Hedge Creation'!AD140</f>
        <v>0</v>
      </c>
      <c r="V383" s="1">
        <f>'F-2 Off-Site WaterC'' Creation'!AG140</f>
        <v>0</v>
      </c>
    </row>
    <row r="384" spans="1:22" x14ac:dyDescent="0.3">
      <c r="A384" s="757">
        <f>'D-2 Off-Site Habitat Creation'!AF140</f>
        <v>0</v>
      </c>
      <c r="M384" s="757">
        <f>'E-2 Off-Site Hedge Creation'!AD141</f>
        <v>0</v>
      </c>
      <c r="V384" s="1">
        <f>'F-2 Off-Site WaterC'' Creation'!AG141</f>
        <v>0</v>
      </c>
    </row>
    <row r="385" spans="1:22" x14ac:dyDescent="0.3">
      <c r="A385" s="757">
        <f>'D-2 Off-Site Habitat Creation'!AF141</f>
        <v>0</v>
      </c>
      <c r="M385" s="757">
        <f>'E-2 Off-Site Hedge Creation'!AD142</f>
        <v>0</v>
      </c>
      <c r="V385" s="1">
        <f>'F-2 Off-Site WaterC'' Creation'!AG142</f>
        <v>0</v>
      </c>
    </row>
    <row r="386" spans="1:22" x14ac:dyDescent="0.3">
      <c r="A386" s="757">
        <f>'D-2 Off-Site Habitat Creation'!AF142</f>
        <v>0</v>
      </c>
      <c r="M386" s="757">
        <f>'E-2 Off-Site Hedge Creation'!AD143</f>
        <v>0</v>
      </c>
      <c r="V386" s="1">
        <f>'F-2 Off-Site WaterC'' Creation'!AG143</f>
        <v>0</v>
      </c>
    </row>
    <row r="387" spans="1:22" x14ac:dyDescent="0.3">
      <c r="A387" s="757">
        <f>'D-2 Off-Site Habitat Creation'!AF143</f>
        <v>0</v>
      </c>
      <c r="M387" s="757">
        <f>'E-2 Off-Site Hedge Creation'!AD144</f>
        <v>0</v>
      </c>
      <c r="V387" s="1">
        <f>'F-2 Off-Site WaterC'' Creation'!AG144</f>
        <v>0</v>
      </c>
    </row>
    <row r="388" spans="1:22" x14ac:dyDescent="0.3">
      <c r="A388" s="757">
        <f>'D-2 Off-Site Habitat Creation'!AF144</f>
        <v>0</v>
      </c>
      <c r="M388" s="757">
        <f>'E-2 Off-Site Hedge Creation'!AD145</f>
        <v>0</v>
      </c>
      <c r="V388" s="1">
        <f>'F-2 Off-Site WaterC'' Creation'!AG145</f>
        <v>0</v>
      </c>
    </row>
    <row r="389" spans="1:22" x14ac:dyDescent="0.3">
      <c r="A389" s="757">
        <f>'D-2 Off-Site Habitat Creation'!AF145</f>
        <v>0</v>
      </c>
      <c r="M389" s="757">
        <f>'E-2 Off-Site Hedge Creation'!AD146</f>
        <v>0</v>
      </c>
      <c r="V389" s="1">
        <f>'F-2 Off-Site WaterC'' Creation'!AG146</f>
        <v>0</v>
      </c>
    </row>
    <row r="390" spans="1:22" x14ac:dyDescent="0.3">
      <c r="A390" s="757">
        <f>'D-2 Off-Site Habitat Creation'!AF146</f>
        <v>0</v>
      </c>
      <c r="M390" s="757">
        <f>'E-2 Off-Site Hedge Creation'!AD147</f>
        <v>0</v>
      </c>
      <c r="V390" s="1">
        <f>'F-2 Off-Site WaterC'' Creation'!AG147</f>
        <v>0</v>
      </c>
    </row>
    <row r="391" spans="1:22" x14ac:dyDescent="0.3">
      <c r="A391" s="757">
        <f>'D-2 Off-Site Habitat Creation'!AF147</f>
        <v>0</v>
      </c>
      <c r="M391" s="757">
        <f>'E-2 Off-Site Hedge Creation'!AD148</f>
        <v>0</v>
      </c>
      <c r="V391" s="1">
        <f>'F-2 Off-Site WaterC'' Creation'!AG148</f>
        <v>0</v>
      </c>
    </row>
    <row r="392" spans="1:22" x14ac:dyDescent="0.3">
      <c r="A392" s="757">
        <f>'D-2 Off-Site Habitat Creation'!AF148</f>
        <v>0</v>
      </c>
      <c r="M392" s="757">
        <f>'E-2 Off-Site Hedge Creation'!AD149</f>
        <v>0</v>
      </c>
      <c r="V392" s="1">
        <f>'F-2 Off-Site WaterC'' Creation'!AG149</f>
        <v>0</v>
      </c>
    </row>
    <row r="393" spans="1:22" x14ac:dyDescent="0.3">
      <c r="A393" s="757">
        <f>'D-2 Off-Site Habitat Creation'!AF149</f>
        <v>0</v>
      </c>
      <c r="M393" s="757">
        <f>'E-2 Off-Site Hedge Creation'!AD150</f>
        <v>0</v>
      </c>
      <c r="V393" s="1">
        <f>'F-2 Off-Site WaterC'' Creation'!AG150</f>
        <v>0</v>
      </c>
    </row>
    <row r="394" spans="1:22" x14ac:dyDescent="0.3">
      <c r="A394" s="757">
        <f>'D-2 Off-Site Habitat Creation'!AF150</f>
        <v>0</v>
      </c>
      <c r="M394" s="757">
        <f>'E-2 Off-Site Hedge Creation'!AD151</f>
        <v>0</v>
      </c>
      <c r="V394" s="1">
        <f>'F-2 Off-Site WaterC'' Creation'!AG151</f>
        <v>0</v>
      </c>
    </row>
    <row r="395" spans="1:22" x14ac:dyDescent="0.3">
      <c r="A395" s="757">
        <f>'D-2 Off-Site Habitat Creation'!AF151</f>
        <v>0</v>
      </c>
      <c r="M395" s="757">
        <f>'E-2 Off-Site Hedge Creation'!AD152</f>
        <v>0</v>
      </c>
      <c r="V395" s="1">
        <f>'F-2 Off-Site WaterC'' Creation'!AG152</f>
        <v>0</v>
      </c>
    </row>
    <row r="396" spans="1:22" x14ac:dyDescent="0.3">
      <c r="A396" s="757">
        <f>'D-2 Off-Site Habitat Creation'!AF152</f>
        <v>0</v>
      </c>
      <c r="M396" s="757">
        <f>'E-2 Off-Site Hedge Creation'!AD153</f>
        <v>0</v>
      </c>
      <c r="V396" s="1">
        <f>'F-2 Off-Site WaterC'' Creation'!AG153</f>
        <v>0</v>
      </c>
    </row>
    <row r="397" spans="1:22" x14ac:dyDescent="0.3">
      <c r="A397" s="757">
        <f>'D-2 Off-Site Habitat Creation'!AF153</f>
        <v>0</v>
      </c>
      <c r="M397" s="757">
        <f>'E-2 Off-Site Hedge Creation'!AD154</f>
        <v>0</v>
      </c>
      <c r="V397" s="1">
        <f>'F-2 Off-Site WaterC'' Creation'!AG154</f>
        <v>0</v>
      </c>
    </row>
    <row r="398" spans="1:22" x14ac:dyDescent="0.3">
      <c r="A398" s="757">
        <f>'D-2 Off-Site Habitat Creation'!AF154</f>
        <v>0</v>
      </c>
      <c r="M398" s="757">
        <f>'E-2 Off-Site Hedge Creation'!AD155</f>
        <v>0</v>
      </c>
      <c r="V398" s="1">
        <f>'F-2 Off-Site WaterC'' Creation'!AG155</f>
        <v>0</v>
      </c>
    </row>
    <row r="399" spans="1:22" x14ac:dyDescent="0.3">
      <c r="A399" s="757">
        <f>'D-2 Off-Site Habitat Creation'!AF155</f>
        <v>0</v>
      </c>
      <c r="M399" s="757">
        <f>'E-2 Off-Site Hedge Creation'!AD156</f>
        <v>0</v>
      </c>
      <c r="V399" s="1">
        <f>'F-2 Off-Site WaterC'' Creation'!AG156</f>
        <v>0</v>
      </c>
    </row>
    <row r="400" spans="1:22" x14ac:dyDescent="0.3">
      <c r="A400" s="757">
        <f>'D-2 Off-Site Habitat Creation'!AF156</f>
        <v>0</v>
      </c>
      <c r="M400" s="757">
        <f>'E-2 Off-Site Hedge Creation'!AD157</f>
        <v>0</v>
      </c>
      <c r="V400" s="1">
        <f>'F-2 Off-Site WaterC'' Creation'!AG157</f>
        <v>0</v>
      </c>
    </row>
    <row r="401" spans="1:22" x14ac:dyDescent="0.3">
      <c r="A401" s="757">
        <f>'D-2 Off-Site Habitat Creation'!AF157</f>
        <v>0</v>
      </c>
      <c r="M401" s="757">
        <f>'E-2 Off-Site Hedge Creation'!AD158</f>
        <v>0</v>
      </c>
      <c r="V401" s="1">
        <f>'F-2 Off-Site WaterC'' Creation'!AG158</f>
        <v>0</v>
      </c>
    </row>
    <row r="402" spans="1:22" x14ac:dyDescent="0.3">
      <c r="A402" s="757">
        <f>'D-2 Off-Site Habitat Creation'!AF158</f>
        <v>0</v>
      </c>
      <c r="M402" s="757">
        <f>'E-2 Off-Site Hedge Creation'!AD159</f>
        <v>0</v>
      </c>
      <c r="V402" s="1">
        <f>'F-2 Off-Site WaterC'' Creation'!AG159</f>
        <v>0</v>
      </c>
    </row>
    <row r="403" spans="1:22" x14ac:dyDescent="0.3">
      <c r="A403" s="757">
        <f>'D-2 Off-Site Habitat Creation'!AF159</f>
        <v>0</v>
      </c>
      <c r="M403" s="757">
        <f>'E-2 Off-Site Hedge Creation'!AD160</f>
        <v>0</v>
      </c>
      <c r="V403" s="1">
        <f>'F-2 Off-Site WaterC'' Creation'!AG160</f>
        <v>0</v>
      </c>
    </row>
    <row r="404" spans="1:22" x14ac:dyDescent="0.3">
      <c r="A404" s="757">
        <f>'D-2 Off-Site Habitat Creation'!AF160</f>
        <v>0</v>
      </c>
      <c r="M404" s="757">
        <f>'E-2 Off-Site Hedge Creation'!AD161</f>
        <v>0</v>
      </c>
      <c r="V404" s="1">
        <f>'F-2 Off-Site WaterC'' Creation'!AG161</f>
        <v>0</v>
      </c>
    </row>
    <row r="405" spans="1:22" x14ac:dyDescent="0.3">
      <c r="A405" s="757">
        <f>'D-2 Off-Site Habitat Creation'!AF161</f>
        <v>0</v>
      </c>
      <c r="M405" s="757">
        <f>'E-2 Off-Site Hedge Creation'!AD162</f>
        <v>0</v>
      </c>
      <c r="V405" s="1">
        <f>'F-2 Off-Site WaterC'' Creation'!AG162</f>
        <v>0</v>
      </c>
    </row>
    <row r="406" spans="1:22" x14ac:dyDescent="0.3">
      <c r="A406" s="757">
        <f>'D-2 Off-Site Habitat Creation'!AF162</f>
        <v>0</v>
      </c>
      <c r="M406" s="757">
        <f>'E-2 Off-Site Hedge Creation'!AD163</f>
        <v>0</v>
      </c>
      <c r="V406" s="1">
        <f>'F-2 Off-Site WaterC'' Creation'!AG163</f>
        <v>0</v>
      </c>
    </row>
    <row r="407" spans="1:22" x14ac:dyDescent="0.3">
      <c r="A407" s="757">
        <f>'D-2 Off-Site Habitat Creation'!AF163</f>
        <v>0</v>
      </c>
      <c r="M407" s="757">
        <f>'E-2 Off-Site Hedge Creation'!AD164</f>
        <v>0</v>
      </c>
      <c r="V407" s="1">
        <f>'F-2 Off-Site WaterC'' Creation'!AG164</f>
        <v>0</v>
      </c>
    </row>
    <row r="408" spans="1:22" x14ac:dyDescent="0.3">
      <c r="A408" s="757">
        <f>'D-2 Off-Site Habitat Creation'!AF164</f>
        <v>0</v>
      </c>
      <c r="M408" s="757">
        <f>'E-2 Off-Site Hedge Creation'!AD165</f>
        <v>0</v>
      </c>
      <c r="V408" s="1">
        <f>'F-2 Off-Site WaterC'' Creation'!AG165</f>
        <v>0</v>
      </c>
    </row>
    <row r="409" spans="1:22" x14ac:dyDescent="0.3">
      <c r="A409" s="757">
        <f>'D-2 Off-Site Habitat Creation'!AF165</f>
        <v>0</v>
      </c>
      <c r="M409" s="757">
        <f>'E-2 Off-Site Hedge Creation'!AD166</f>
        <v>0</v>
      </c>
      <c r="V409" s="1">
        <f>'F-2 Off-Site WaterC'' Creation'!AG166</f>
        <v>0</v>
      </c>
    </row>
    <row r="410" spans="1:22" x14ac:dyDescent="0.3">
      <c r="A410" s="757">
        <f>'D-2 Off-Site Habitat Creation'!AF166</f>
        <v>0</v>
      </c>
      <c r="M410" s="757">
        <f>'E-2 Off-Site Hedge Creation'!AD167</f>
        <v>0</v>
      </c>
      <c r="V410" s="1">
        <f>'F-2 Off-Site WaterC'' Creation'!AG167</f>
        <v>0</v>
      </c>
    </row>
    <row r="411" spans="1:22" x14ac:dyDescent="0.3">
      <c r="A411" s="757">
        <f>'D-2 Off-Site Habitat Creation'!AF167</f>
        <v>0</v>
      </c>
      <c r="M411" s="757">
        <f>'E-2 Off-Site Hedge Creation'!AD168</f>
        <v>0</v>
      </c>
      <c r="V411" s="1">
        <f>'F-2 Off-Site WaterC'' Creation'!AG168</f>
        <v>0</v>
      </c>
    </row>
    <row r="412" spans="1:22" x14ac:dyDescent="0.3">
      <c r="A412" s="757">
        <f>'D-2 Off-Site Habitat Creation'!AF168</f>
        <v>0</v>
      </c>
      <c r="M412" s="757">
        <f>'E-2 Off-Site Hedge Creation'!AD169</f>
        <v>0</v>
      </c>
      <c r="V412" s="1">
        <f>'F-2 Off-Site WaterC'' Creation'!AG169</f>
        <v>0</v>
      </c>
    </row>
    <row r="413" spans="1:22" x14ac:dyDescent="0.3">
      <c r="A413" s="757">
        <f>'D-2 Off-Site Habitat Creation'!AF169</f>
        <v>0</v>
      </c>
      <c r="M413" s="757">
        <f>'E-2 Off-Site Hedge Creation'!AD170</f>
        <v>0</v>
      </c>
      <c r="V413" s="1">
        <f>'F-2 Off-Site WaterC'' Creation'!AG170</f>
        <v>0</v>
      </c>
    </row>
    <row r="414" spans="1:22" x14ac:dyDescent="0.3">
      <c r="A414" s="757">
        <f>'D-2 Off-Site Habitat Creation'!AF170</f>
        <v>0</v>
      </c>
      <c r="M414" s="757">
        <f>'E-2 Off-Site Hedge Creation'!AD171</f>
        <v>0</v>
      </c>
      <c r="V414" s="1">
        <f>'F-2 Off-Site WaterC'' Creation'!AG171</f>
        <v>0</v>
      </c>
    </row>
    <row r="415" spans="1:22" x14ac:dyDescent="0.3">
      <c r="A415" s="757">
        <f>'D-2 Off-Site Habitat Creation'!AF171</f>
        <v>0</v>
      </c>
      <c r="M415" s="757">
        <f>'E-2 Off-Site Hedge Creation'!AD172</f>
        <v>0</v>
      </c>
      <c r="V415" s="1">
        <f>'F-2 Off-Site WaterC'' Creation'!AG172</f>
        <v>0</v>
      </c>
    </row>
    <row r="416" spans="1:22" x14ac:dyDescent="0.3">
      <c r="A416" s="757">
        <f>'D-2 Off-Site Habitat Creation'!AF172</f>
        <v>0</v>
      </c>
      <c r="M416" s="757">
        <f>'E-2 Off-Site Hedge Creation'!AD173</f>
        <v>0</v>
      </c>
      <c r="V416" s="1">
        <f>'F-2 Off-Site WaterC'' Creation'!AG173</f>
        <v>0</v>
      </c>
    </row>
    <row r="417" spans="1:22" x14ac:dyDescent="0.3">
      <c r="A417" s="757">
        <f>'D-2 Off-Site Habitat Creation'!AF173</f>
        <v>0</v>
      </c>
      <c r="M417" s="757">
        <f>'E-2 Off-Site Hedge Creation'!AD174</f>
        <v>0</v>
      </c>
      <c r="V417" s="1">
        <f>'F-2 Off-Site WaterC'' Creation'!AG174</f>
        <v>0</v>
      </c>
    </row>
    <row r="418" spans="1:22" x14ac:dyDescent="0.3">
      <c r="A418" s="757">
        <f>'D-2 Off-Site Habitat Creation'!AF174</f>
        <v>0</v>
      </c>
      <c r="M418" s="757">
        <f>'E-2 Off-Site Hedge Creation'!AD175</f>
        <v>0</v>
      </c>
      <c r="V418" s="1">
        <f>'F-2 Off-Site WaterC'' Creation'!AG175</f>
        <v>0</v>
      </c>
    </row>
    <row r="419" spans="1:22" x14ac:dyDescent="0.3">
      <c r="A419" s="757">
        <f>'D-2 Off-Site Habitat Creation'!AF175</f>
        <v>0</v>
      </c>
      <c r="M419" s="757">
        <f>'E-2 Off-Site Hedge Creation'!AD176</f>
        <v>0</v>
      </c>
      <c r="V419" s="1">
        <f>'F-2 Off-Site WaterC'' Creation'!AG176</f>
        <v>0</v>
      </c>
    </row>
    <row r="420" spans="1:22" x14ac:dyDescent="0.3">
      <c r="A420" s="757">
        <f>'D-2 Off-Site Habitat Creation'!AF176</f>
        <v>0</v>
      </c>
      <c r="M420" s="757">
        <f>'E-2 Off-Site Hedge Creation'!AD177</f>
        <v>0</v>
      </c>
      <c r="V420" s="1">
        <f>'F-2 Off-Site WaterC'' Creation'!AG177</f>
        <v>0</v>
      </c>
    </row>
    <row r="421" spans="1:22" x14ac:dyDescent="0.3">
      <c r="A421" s="757">
        <f>'D-2 Off-Site Habitat Creation'!AF177</f>
        <v>0</v>
      </c>
      <c r="M421" s="757">
        <f>'E-2 Off-Site Hedge Creation'!AD178</f>
        <v>0</v>
      </c>
      <c r="V421" s="1">
        <f>'F-2 Off-Site WaterC'' Creation'!AG178</f>
        <v>0</v>
      </c>
    </row>
    <row r="422" spans="1:22" x14ac:dyDescent="0.3">
      <c r="A422" s="757">
        <f>'D-2 Off-Site Habitat Creation'!AF178</f>
        <v>0</v>
      </c>
      <c r="M422" s="757">
        <f>'E-2 Off-Site Hedge Creation'!AD179</f>
        <v>0</v>
      </c>
      <c r="V422" s="1">
        <f>'F-2 Off-Site WaterC'' Creation'!AG179</f>
        <v>0</v>
      </c>
    </row>
    <row r="423" spans="1:22" x14ac:dyDescent="0.3">
      <c r="A423" s="757">
        <f>'D-2 Off-Site Habitat Creation'!AF179</f>
        <v>0</v>
      </c>
      <c r="M423" s="757">
        <f>'E-2 Off-Site Hedge Creation'!AD180</f>
        <v>0</v>
      </c>
      <c r="V423" s="1">
        <f>'F-2 Off-Site WaterC'' Creation'!AG180</f>
        <v>0</v>
      </c>
    </row>
    <row r="424" spans="1:22" x14ac:dyDescent="0.3">
      <c r="A424" s="757">
        <f>'D-2 Off-Site Habitat Creation'!AF180</f>
        <v>0</v>
      </c>
      <c r="M424" s="757">
        <f>'E-2 Off-Site Hedge Creation'!AD181</f>
        <v>0</v>
      </c>
      <c r="V424" s="1">
        <f>'F-2 Off-Site WaterC'' Creation'!AG181</f>
        <v>0</v>
      </c>
    </row>
    <row r="425" spans="1:22" x14ac:dyDescent="0.3">
      <c r="A425" s="757">
        <f>'D-2 Off-Site Habitat Creation'!AF181</f>
        <v>0</v>
      </c>
      <c r="M425" s="757">
        <f>'E-2 Off-Site Hedge Creation'!AD182</f>
        <v>0</v>
      </c>
      <c r="V425" s="1">
        <f>'F-2 Off-Site WaterC'' Creation'!AG182</f>
        <v>0</v>
      </c>
    </row>
    <row r="426" spans="1:22" x14ac:dyDescent="0.3">
      <c r="A426" s="757">
        <f>'D-2 Off-Site Habitat Creation'!AF182</f>
        <v>0</v>
      </c>
      <c r="M426" s="757">
        <f>'E-2 Off-Site Hedge Creation'!AD183</f>
        <v>0</v>
      </c>
      <c r="V426" s="1">
        <f>'F-2 Off-Site WaterC'' Creation'!AG183</f>
        <v>0</v>
      </c>
    </row>
    <row r="427" spans="1:22" x14ac:dyDescent="0.3">
      <c r="A427" s="757">
        <f>'D-2 Off-Site Habitat Creation'!AF183</f>
        <v>0</v>
      </c>
      <c r="M427" s="757">
        <f>'E-2 Off-Site Hedge Creation'!AD184</f>
        <v>0</v>
      </c>
      <c r="V427" s="1">
        <f>'F-2 Off-Site WaterC'' Creation'!AG184</f>
        <v>0</v>
      </c>
    </row>
    <row r="428" spans="1:22" x14ac:dyDescent="0.3">
      <c r="A428" s="757">
        <f>'D-2 Off-Site Habitat Creation'!AF184</f>
        <v>0</v>
      </c>
      <c r="M428" s="757">
        <f>'E-2 Off-Site Hedge Creation'!AD185</f>
        <v>0</v>
      </c>
      <c r="V428" s="1">
        <f>'F-2 Off-Site WaterC'' Creation'!AG185</f>
        <v>0</v>
      </c>
    </row>
    <row r="429" spans="1:22" x14ac:dyDescent="0.3">
      <c r="A429" s="757">
        <f>'D-2 Off-Site Habitat Creation'!AF185</f>
        <v>0</v>
      </c>
      <c r="M429" s="757">
        <f>'E-2 Off-Site Hedge Creation'!AD186</f>
        <v>0</v>
      </c>
      <c r="V429" s="1">
        <f>'F-2 Off-Site WaterC'' Creation'!AG186</f>
        <v>0</v>
      </c>
    </row>
    <row r="430" spans="1:22" x14ac:dyDescent="0.3">
      <c r="A430" s="757">
        <f>'D-2 Off-Site Habitat Creation'!AF186</f>
        <v>0</v>
      </c>
      <c r="M430" s="757">
        <f>'E-2 Off-Site Hedge Creation'!AD187</f>
        <v>0</v>
      </c>
      <c r="V430" s="1">
        <f>'F-2 Off-Site WaterC'' Creation'!AG187</f>
        <v>0</v>
      </c>
    </row>
    <row r="431" spans="1:22" x14ac:dyDescent="0.3">
      <c r="A431" s="757">
        <f>'D-2 Off-Site Habitat Creation'!AF187</f>
        <v>0</v>
      </c>
      <c r="M431" s="757">
        <f>'E-2 Off-Site Hedge Creation'!AD188</f>
        <v>0</v>
      </c>
      <c r="V431" s="1">
        <f>'F-2 Off-Site WaterC'' Creation'!AG188</f>
        <v>0</v>
      </c>
    </row>
    <row r="432" spans="1:22" x14ac:dyDescent="0.3">
      <c r="A432" s="757">
        <f>'D-2 Off-Site Habitat Creation'!AF188</f>
        <v>0</v>
      </c>
      <c r="M432" s="757">
        <f>'E-2 Off-Site Hedge Creation'!AD189</f>
        <v>0</v>
      </c>
      <c r="V432" s="1">
        <f>'F-2 Off-Site WaterC'' Creation'!AG189</f>
        <v>0</v>
      </c>
    </row>
    <row r="433" spans="1:22" x14ac:dyDescent="0.3">
      <c r="A433" s="757">
        <f>'D-2 Off-Site Habitat Creation'!AF189</f>
        <v>0</v>
      </c>
      <c r="M433" s="757">
        <f>'E-2 Off-Site Hedge Creation'!AD190</f>
        <v>0</v>
      </c>
      <c r="V433" s="1">
        <f>'F-2 Off-Site WaterC'' Creation'!AG190</f>
        <v>0</v>
      </c>
    </row>
    <row r="434" spans="1:22" x14ac:dyDescent="0.3">
      <c r="A434" s="757">
        <f>'D-2 Off-Site Habitat Creation'!AF190</f>
        <v>0</v>
      </c>
      <c r="M434" s="757">
        <f>'E-2 Off-Site Hedge Creation'!AD191</f>
        <v>0</v>
      </c>
      <c r="V434" s="1">
        <f>'F-2 Off-Site WaterC'' Creation'!AG191</f>
        <v>0</v>
      </c>
    </row>
    <row r="435" spans="1:22" x14ac:dyDescent="0.3">
      <c r="A435" s="757">
        <f>'D-2 Off-Site Habitat Creation'!AF191</f>
        <v>0</v>
      </c>
      <c r="M435" s="757">
        <f>'E-2 Off-Site Hedge Creation'!AD192</f>
        <v>0</v>
      </c>
      <c r="V435" s="1">
        <f>'F-2 Off-Site WaterC'' Creation'!AG192</f>
        <v>0</v>
      </c>
    </row>
    <row r="436" spans="1:22" x14ac:dyDescent="0.3">
      <c r="A436" s="757">
        <f>'D-2 Off-Site Habitat Creation'!AF192</f>
        <v>0</v>
      </c>
      <c r="M436" s="757">
        <f>'E-2 Off-Site Hedge Creation'!AD193</f>
        <v>0</v>
      </c>
      <c r="V436" s="1">
        <f>'F-2 Off-Site WaterC'' Creation'!AG193</f>
        <v>0</v>
      </c>
    </row>
    <row r="437" spans="1:22" x14ac:dyDescent="0.3">
      <c r="A437" s="757">
        <f>'D-2 Off-Site Habitat Creation'!AF193</f>
        <v>0</v>
      </c>
      <c r="M437" s="757">
        <f>'E-2 Off-Site Hedge Creation'!AD194</f>
        <v>0</v>
      </c>
      <c r="V437" s="1">
        <f>'F-2 Off-Site WaterC'' Creation'!AG194</f>
        <v>0</v>
      </c>
    </row>
    <row r="438" spans="1:22" x14ac:dyDescent="0.3">
      <c r="A438" s="757">
        <f>'D-2 Off-Site Habitat Creation'!AF194</f>
        <v>0</v>
      </c>
      <c r="M438" s="757">
        <f>'E-2 Off-Site Hedge Creation'!AD195</f>
        <v>0</v>
      </c>
      <c r="V438" s="1">
        <f>'F-2 Off-Site WaterC'' Creation'!AG195</f>
        <v>0</v>
      </c>
    </row>
    <row r="439" spans="1:22" x14ac:dyDescent="0.3">
      <c r="A439" s="757">
        <f>'D-2 Off-Site Habitat Creation'!AF195</f>
        <v>0</v>
      </c>
      <c r="M439" s="757">
        <f>'E-2 Off-Site Hedge Creation'!AD196</f>
        <v>0</v>
      </c>
      <c r="V439" s="1">
        <f>'F-2 Off-Site WaterC'' Creation'!AG196</f>
        <v>0</v>
      </c>
    </row>
    <row r="440" spans="1:22" x14ac:dyDescent="0.3">
      <c r="A440" s="757">
        <f>'D-2 Off-Site Habitat Creation'!AF196</f>
        <v>0</v>
      </c>
      <c r="M440" s="757">
        <f>'E-2 Off-Site Hedge Creation'!AD197</f>
        <v>0</v>
      </c>
      <c r="V440" s="1">
        <f>'F-2 Off-Site WaterC'' Creation'!AG197</f>
        <v>0</v>
      </c>
    </row>
    <row r="441" spans="1:22" x14ac:dyDescent="0.3">
      <c r="A441" s="757">
        <f>'D-2 Off-Site Habitat Creation'!AF197</f>
        <v>0</v>
      </c>
      <c r="M441" s="757">
        <f>'E-2 Off-Site Hedge Creation'!AD198</f>
        <v>0</v>
      </c>
      <c r="V441" s="1">
        <f>'F-2 Off-Site WaterC'' Creation'!AG198</f>
        <v>0</v>
      </c>
    </row>
    <row r="442" spans="1:22" x14ac:dyDescent="0.3">
      <c r="A442" s="757">
        <f>'D-2 Off-Site Habitat Creation'!AF198</f>
        <v>0</v>
      </c>
      <c r="M442" s="757">
        <f>'E-2 Off-Site Hedge Creation'!AD199</f>
        <v>0</v>
      </c>
      <c r="V442" s="1">
        <f>'F-2 Off-Site WaterC'' Creation'!AG199</f>
        <v>0</v>
      </c>
    </row>
    <row r="443" spans="1:22" x14ac:dyDescent="0.3">
      <c r="A443" s="757">
        <f>'D-2 Off-Site Habitat Creation'!AF199</f>
        <v>0</v>
      </c>
      <c r="M443" s="757">
        <f>'E-2 Off-Site Hedge Creation'!AD200</f>
        <v>0</v>
      </c>
      <c r="V443" s="1">
        <f>'F-2 Off-Site WaterC'' Creation'!AG200</f>
        <v>0</v>
      </c>
    </row>
    <row r="444" spans="1:22" x14ac:dyDescent="0.3">
      <c r="A444" s="757">
        <f>'D-2 Off-Site Habitat Creation'!AF200</f>
        <v>0</v>
      </c>
      <c r="M444" s="757">
        <f>'E-2 Off-Site Hedge Creation'!AD201</f>
        <v>0</v>
      </c>
      <c r="V444" s="1">
        <f>'F-2 Off-Site WaterC'' Creation'!AG201</f>
        <v>0</v>
      </c>
    </row>
    <row r="445" spans="1:22" x14ac:dyDescent="0.3">
      <c r="A445" s="757">
        <f>'D-2 Off-Site Habitat Creation'!AF201</f>
        <v>0</v>
      </c>
      <c r="M445" s="757">
        <f>'E-2 Off-Site Hedge Creation'!AD202</f>
        <v>0</v>
      </c>
      <c r="V445" s="1">
        <f>'F-2 Off-Site WaterC'' Creation'!AG202</f>
        <v>0</v>
      </c>
    </row>
    <row r="446" spans="1:22" x14ac:dyDescent="0.3">
      <c r="A446" s="757">
        <f>'D-2 Off-Site Habitat Creation'!AF202</f>
        <v>0</v>
      </c>
      <c r="M446" s="757">
        <f>'E-2 Off-Site Hedge Creation'!AD203</f>
        <v>0</v>
      </c>
      <c r="V446" s="1">
        <f>'F-2 Off-Site WaterC'' Creation'!AG203</f>
        <v>0</v>
      </c>
    </row>
    <row r="447" spans="1:22" x14ac:dyDescent="0.3">
      <c r="A447" s="757">
        <f>'D-2 Off-Site Habitat Creation'!AF203</f>
        <v>0</v>
      </c>
      <c r="M447" s="757">
        <f>'E-2 Off-Site Hedge Creation'!AD204</f>
        <v>0</v>
      </c>
      <c r="V447" s="1">
        <f>'F-2 Off-Site WaterC'' Creation'!AG204</f>
        <v>0</v>
      </c>
    </row>
    <row r="448" spans="1:22" x14ac:dyDescent="0.3">
      <c r="A448" s="757">
        <f>'D-2 Off-Site Habitat Creation'!AF204</f>
        <v>0</v>
      </c>
      <c r="M448" s="757">
        <f>'E-2 Off-Site Hedge Creation'!AD205</f>
        <v>0</v>
      </c>
      <c r="V448" s="1">
        <f>'F-2 Off-Site WaterC'' Creation'!AG205</f>
        <v>0</v>
      </c>
    </row>
    <row r="449" spans="1:22" x14ac:dyDescent="0.3">
      <c r="A449" s="757">
        <f>'D-2 Off-Site Habitat Creation'!AF205</f>
        <v>0</v>
      </c>
      <c r="M449" s="757">
        <f>'E-2 Off-Site Hedge Creation'!AD206</f>
        <v>0</v>
      </c>
      <c r="V449" s="1">
        <f>'F-2 Off-Site WaterC'' Creation'!AG206</f>
        <v>0</v>
      </c>
    </row>
    <row r="450" spans="1:22" x14ac:dyDescent="0.3">
      <c r="A450" s="757">
        <f>'D-2 Off-Site Habitat Creation'!AF206</f>
        <v>0</v>
      </c>
      <c r="M450" s="757">
        <f>'E-2 Off-Site Hedge Creation'!AD207</f>
        <v>0</v>
      </c>
      <c r="V450" s="1">
        <f>'F-2 Off-Site WaterC'' Creation'!AG207</f>
        <v>0</v>
      </c>
    </row>
    <row r="451" spans="1:22" x14ac:dyDescent="0.3">
      <c r="A451" s="757">
        <f>'D-2 Off-Site Habitat Creation'!AF207</f>
        <v>0</v>
      </c>
      <c r="M451" s="757">
        <f>'E-2 Off-Site Hedge Creation'!AD208</f>
        <v>0</v>
      </c>
      <c r="V451" s="1">
        <f>'F-2 Off-Site WaterC'' Creation'!AG208</f>
        <v>0</v>
      </c>
    </row>
    <row r="452" spans="1:22" x14ac:dyDescent="0.3">
      <c r="A452" s="757">
        <f>'D-2 Off-Site Habitat Creation'!AF208</f>
        <v>0</v>
      </c>
      <c r="M452" s="757">
        <f>'E-2 Off-Site Hedge Creation'!AD209</f>
        <v>0</v>
      </c>
      <c r="V452" s="1">
        <f>'F-2 Off-Site WaterC'' Creation'!AG209</f>
        <v>0</v>
      </c>
    </row>
    <row r="453" spans="1:22" x14ac:dyDescent="0.3">
      <c r="A453" s="757">
        <f>'D-2 Off-Site Habitat Creation'!AF209</f>
        <v>0</v>
      </c>
      <c r="M453" s="757">
        <f>'E-2 Off-Site Hedge Creation'!AD210</f>
        <v>0</v>
      </c>
      <c r="V453" s="1">
        <f>'F-2 Off-Site WaterC'' Creation'!AG210</f>
        <v>0</v>
      </c>
    </row>
    <row r="454" spans="1:22" x14ac:dyDescent="0.3">
      <c r="A454" s="757">
        <f>'D-2 Off-Site Habitat Creation'!AF210</f>
        <v>0</v>
      </c>
      <c r="M454" s="757">
        <f>'E-2 Off-Site Hedge Creation'!AD211</f>
        <v>0</v>
      </c>
      <c r="V454" s="1">
        <f>'F-2 Off-Site WaterC'' Creation'!AG211</f>
        <v>0</v>
      </c>
    </row>
    <row r="455" spans="1:22" x14ac:dyDescent="0.3">
      <c r="A455" s="757">
        <f>'D-2 Off-Site Habitat Creation'!AF211</f>
        <v>0</v>
      </c>
      <c r="M455" s="757">
        <f>'E-2 Off-Site Hedge Creation'!AD212</f>
        <v>0</v>
      </c>
      <c r="V455" s="1">
        <f>'F-2 Off-Site WaterC'' Creation'!AG212</f>
        <v>0</v>
      </c>
    </row>
    <row r="456" spans="1:22" x14ac:dyDescent="0.3">
      <c r="A456" s="757">
        <f>'D-2 Off-Site Habitat Creation'!AF212</f>
        <v>0</v>
      </c>
      <c r="M456" s="757">
        <f>'E-2 Off-Site Hedge Creation'!AD213</f>
        <v>0</v>
      </c>
      <c r="V456" s="1">
        <f>'F-2 Off-Site WaterC'' Creation'!AG213</f>
        <v>0</v>
      </c>
    </row>
    <row r="457" spans="1:22" x14ac:dyDescent="0.3">
      <c r="A457" s="757">
        <f>'D-2 Off-Site Habitat Creation'!AF213</f>
        <v>0</v>
      </c>
      <c r="M457" s="757">
        <f>'E-2 Off-Site Hedge Creation'!AD214</f>
        <v>0</v>
      </c>
      <c r="V457" s="1">
        <f>'F-2 Off-Site WaterC'' Creation'!AG214</f>
        <v>0</v>
      </c>
    </row>
    <row r="458" spans="1:22" x14ac:dyDescent="0.3">
      <c r="A458" s="757">
        <f>'D-2 Off-Site Habitat Creation'!AF214</f>
        <v>0</v>
      </c>
      <c r="M458" s="757">
        <f>'E-2 Off-Site Hedge Creation'!AD215</f>
        <v>0</v>
      </c>
      <c r="V458" s="1">
        <f>'F-2 Off-Site WaterC'' Creation'!AG215</f>
        <v>0</v>
      </c>
    </row>
    <row r="459" spans="1:22" x14ac:dyDescent="0.3">
      <c r="A459" s="757">
        <f>'D-2 Off-Site Habitat Creation'!AF215</f>
        <v>0</v>
      </c>
      <c r="M459" s="757">
        <f>'E-2 Off-Site Hedge Creation'!AD216</f>
        <v>0</v>
      </c>
      <c r="V459" s="1">
        <f>'F-2 Off-Site WaterC'' Creation'!AG216</f>
        <v>0</v>
      </c>
    </row>
    <row r="460" spans="1:22" x14ac:dyDescent="0.3">
      <c r="A460" s="757">
        <f>'D-2 Off-Site Habitat Creation'!AF216</f>
        <v>0</v>
      </c>
      <c r="M460" s="757">
        <f>'E-2 Off-Site Hedge Creation'!AD217</f>
        <v>0</v>
      </c>
      <c r="V460" s="1">
        <f>'F-2 Off-Site WaterC'' Creation'!AG217</f>
        <v>0</v>
      </c>
    </row>
    <row r="461" spans="1:22" x14ac:dyDescent="0.3">
      <c r="A461" s="757">
        <f>'D-2 Off-Site Habitat Creation'!AF217</f>
        <v>0</v>
      </c>
      <c r="M461" s="757">
        <f>'E-2 Off-Site Hedge Creation'!AD218</f>
        <v>0</v>
      </c>
      <c r="V461" s="1">
        <f>'F-2 Off-Site WaterC'' Creation'!AG218</f>
        <v>0</v>
      </c>
    </row>
    <row r="462" spans="1:22" x14ac:dyDescent="0.3">
      <c r="A462" s="757">
        <f>'D-2 Off-Site Habitat Creation'!AF218</f>
        <v>0</v>
      </c>
      <c r="M462" s="757">
        <f>'E-2 Off-Site Hedge Creation'!AD219</f>
        <v>0</v>
      </c>
      <c r="V462" s="1">
        <f>'F-2 Off-Site WaterC'' Creation'!AG219</f>
        <v>0</v>
      </c>
    </row>
    <row r="463" spans="1:22" x14ac:dyDescent="0.3">
      <c r="A463" s="757">
        <f>'D-2 Off-Site Habitat Creation'!AF219</f>
        <v>0</v>
      </c>
      <c r="M463" s="757">
        <f>'E-2 Off-Site Hedge Creation'!AD220</f>
        <v>0</v>
      </c>
      <c r="V463" s="1">
        <f>'F-2 Off-Site WaterC'' Creation'!AG220</f>
        <v>0</v>
      </c>
    </row>
    <row r="464" spans="1:22" x14ac:dyDescent="0.3">
      <c r="A464" s="757">
        <f>'D-2 Off-Site Habitat Creation'!AF220</f>
        <v>0</v>
      </c>
      <c r="M464" s="757">
        <f>'E-2 Off-Site Hedge Creation'!AD221</f>
        <v>0</v>
      </c>
      <c r="V464" s="1">
        <f>'F-2 Off-Site WaterC'' Creation'!AG221</f>
        <v>0</v>
      </c>
    </row>
    <row r="465" spans="1:22" x14ac:dyDescent="0.3">
      <c r="A465" s="757">
        <f>'D-2 Off-Site Habitat Creation'!AF221</f>
        <v>0</v>
      </c>
      <c r="M465" s="757">
        <f>'E-2 Off-Site Hedge Creation'!AD222</f>
        <v>0</v>
      </c>
      <c r="V465" s="1">
        <f>'F-2 Off-Site WaterC'' Creation'!AG222</f>
        <v>0</v>
      </c>
    </row>
    <row r="466" spans="1:22" x14ac:dyDescent="0.3">
      <c r="A466" s="757">
        <f>'D-2 Off-Site Habitat Creation'!AF222</f>
        <v>0</v>
      </c>
      <c r="M466" s="757">
        <f>'E-2 Off-Site Hedge Creation'!AD223</f>
        <v>0</v>
      </c>
      <c r="V466" s="1">
        <f>'F-2 Off-Site WaterC'' Creation'!AG223</f>
        <v>0</v>
      </c>
    </row>
    <row r="467" spans="1:22" x14ac:dyDescent="0.3">
      <c r="A467" s="757">
        <f>'D-2 Off-Site Habitat Creation'!AF223</f>
        <v>0</v>
      </c>
      <c r="M467" s="757">
        <f>'E-2 Off-Site Hedge Creation'!AD224</f>
        <v>0</v>
      </c>
      <c r="V467" s="1">
        <f>'F-2 Off-Site WaterC'' Creation'!AG224</f>
        <v>0</v>
      </c>
    </row>
    <row r="468" spans="1:22" x14ac:dyDescent="0.3">
      <c r="A468" s="757">
        <f>'D-2 Off-Site Habitat Creation'!AF224</f>
        <v>0</v>
      </c>
      <c r="M468" s="757">
        <f>'E-2 Off-Site Hedge Creation'!AD225</f>
        <v>0</v>
      </c>
      <c r="V468" s="1">
        <f>'F-2 Off-Site WaterC'' Creation'!AG225</f>
        <v>0</v>
      </c>
    </row>
    <row r="469" spans="1:22" x14ac:dyDescent="0.3">
      <c r="A469" s="757">
        <f>'D-2 Off-Site Habitat Creation'!AF225</f>
        <v>0</v>
      </c>
      <c r="M469" s="757">
        <f>'E-2 Off-Site Hedge Creation'!AD226</f>
        <v>0</v>
      </c>
      <c r="V469" s="1">
        <f>'F-2 Off-Site WaterC'' Creation'!AG226</f>
        <v>0</v>
      </c>
    </row>
    <row r="470" spans="1:22" x14ac:dyDescent="0.3">
      <c r="A470" s="757">
        <f>'D-2 Off-Site Habitat Creation'!AF226</f>
        <v>0</v>
      </c>
      <c r="M470" s="757">
        <f>'E-2 Off-Site Hedge Creation'!AD227</f>
        <v>0</v>
      </c>
      <c r="V470" s="1">
        <f>'F-2 Off-Site WaterC'' Creation'!AG227</f>
        <v>0</v>
      </c>
    </row>
    <row r="471" spans="1:22" x14ac:dyDescent="0.3">
      <c r="A471" s="757">
        <f>'D-2 Off-Site Habitat Creation'!AF227</f>
        <v>0</v>
      </c>
      <c r="M471" s="757">
        <f>'E-2 Off-Site Hedge Creation'!AD228</f>
        <v>0</v>
      </c>
      <c r="V471" s="1">
        <f>'F-2 Off-Site WaterC'' Creation'!AG228</f>
        <v>0</v>
      </c>
    </row>
    <row r="472" spans="1:22" x14ac:dyDescent="0.3">
      <c r="A472" s="757">
        <f>'D-2 Off-Site Habitat Creation'!AF228</f>
        <v>0</v>
      </c>
      <c r="M472" s="757">
        <f>'E-2 Off-Site Hedge Creation'!AD229</f>
        <v>0</v>
      </c>
      <c r="V472" s="1">
        <f>'F-2 Off-Site WaterC'' Creation'!AG229</f>
        <v>0</v>
      </c>
    </row>
    <row r="473" spans="1:22" x14ac:dyDescent="0.3">
      <c r="A473" s="757">
        <f>'D-2 Off-Site Habitat Creation'!AF229</f>
        <v>0</v>
      </c>
      <c r="M473" s="757">
        <f>'E-2 Off-Site Hedge Creation'!AD230</f>
        <v>0</v>
      </c>
      <c r="V473" s="1">
        <f>'F-2 Off-Site WaterC'' Creation'!AG230</f>
        <v>0</v>
      </c>
    </row>
    <row r="474" spans="1:22" x14ac:dyDescent="0.3">
      <c r="A474" s="757">
        <f>'D-2 Off-Site Habitat Creation'!AF230</f>
        <v>0</v>
      </c>
      <c r="M474" s="757">
        <f>'E-2 Off-Site Hedge Creation'!AD231</f>
        <v>0</v>
      </c>
      <c r="V474" s="1">
        <f>'F-2 Off-Site WaterC'' Creation'!AG231</f>
        <v>0</v>
      </c>
    </row>
    <row r="475" spans="1:22" x14ac:dyDescent="0.3">
      <c r="A475" s="757">
        <f>'D-2 Off-Site Habitat Creation'!AF231</f>
        <v>0</v>
      </c>
      <c r="M475" s="757">
        <f>'E-2 Off-Site Hedge Creation'!AD232</f>
        <v>0</v>
      </c>
      <c r="V475" s="1">
        <f>'F-2 Off-Site WaterC'' Creation'!AG232</f>
        <v>0</v>
      </c>
    </row>
    <row r="476" spans="1:22" x14ac:dyDescent="0.3">
      <c r="A476" s="757">
        <f>'D-2 Off-Site Habitat Creation'!AF232</f>
        <v>0</v>
      </c>
      <c r="M476" s="757">
        <f>'E-2 Off-Site Hedge Creation'!AD233</f>
        <v>0</v>
      </c>
      <c r="V476" s="1">
        <f>'F-2 Off-Site WaterC'' Creation'!AG233</f>
        <v>0</v>
      </c>
    </row>
    <row r="477" spans="1:22" x14ac:dyDescent="0.3">
      <c r="A477" s="757">
        <f>'D-2 Off-Site Habitat Creation'!AF233</f>
        <v>0</v>
      </c>
      <c r="M477" s="757">
        <f>'E-2 Off-Site Hedge Creation'!AD234</f>
        <v>0</v>
      </c>
      <c r="V477" s="1">
        <f>'F-2 Off-Site WaterC'' Creation'!AG234</f>
        <v>0</v>
      </c>
    </row>
    <row r="478" spans="1:22" x14ac:dyDescent="0.3">
      <c r="A478" s="757">
        <f>'D-2 Off-Site Habitat Creation'!AF234</f>
        <v>0</v>
      </c>
      <c r="M478" s="757">
        <f>'E-2 Off-Site Hedge Creation'!AD235</f>
        <v>0</v>
      </c>
      <c r="V478" s="1">
        <f>'F-2 Off-Site WaterC'' Creation'!AG235</f>
        <v>0</v>
      </c>
    </row>
    <row r="479" spans="1:22" x14ac:dyDescent="0.3">
      <c r="A479" s="757">
        <f>'D-2 Off-Site Habitat Creation'!AF235</f>
        <v>0</v>
      </c>
      <c r="M479" s="757">
        <f>'E-2 Off-Site Hedge Creation'!AD236</f>
        <v>0</v>
      </c>
      <c r="V479" s="1">
        <f>'F-2 Off-Site WaterC'' Creation'!AG236</f>
        <v>0</v>
      </c>
    </row>
    <row r="480" spans="1:22" x14ac:dyDescent="0.3">
      <c r="A480" s="757">
        <f>'D-2 Off-Site Habitat Creation'!AF236</f>
        <v>0</v>
      </c>
      <c r="M480" s="757">
        <f>'E-2 Off-Site Hedge Creation'!AD237</f>
        <v>0</v>
      </c>
      <c r="V480" s="1">
        <f>'F-2 Off-Site WaterC'' Creation'!AG237</f>
        <v>0</v>
      </c>
    </row>
    <row r="481" spans="1:22" x14ac:dyDescent="0.3">
      <c r="A481" s="757">
        <f>'D-2 Off-Site Habitat Creation'!AF237</f>
        <v>0</v>
      </c>
      <c r="M481" s="757">
        <f>'E-2 Off-Site Hedge Creation'!AD238</f>
        <v>0</v>
      </c>
      <c r="V481" s="1">
        <f>'F-2 Off-Site WaterC'' Creation'!AG238</f>
        <v>0</v>
      </c>
    </row>
    <row r="482" spans="1:22" x14ac:dyDescent="0.3">
      <c r="A482" s="757">
        <f>'D-2 Off-Site Habitat Creation'!AF238</f>
        <v>0</v>
      </c>
      <c r="M482" s="757">
        <f>'E-2 Off-Site Hedge Creation'!AD239</f>
        <v>0</v>
      </c>
      <c r="V482" s="1">
        <f>'F-2 Off-Site WaterC'' Creation'!AG239</f>
        <v>0</v>
      </c>
    </row>
    <row r="483" spans="1:22" x14ac:dyDescent="0.3">
      <c r="A483" s="757">
        <f>'D-2 Off-Site Habitat Creation'!AF239</f>
        <v>0</v>
      </c>
      <c r="M483" s="757">
        <f>'E-2 Off-Site Hedge Creation'!AD240</f>
        <v>0</v>
      </c>
      <c r="V483" s="1">
        <f>'F-2 Off-Site WaterC'' Creation'!AG240</f>
        <v>0</v>
      </c>
    </row>
    <row r="484" spans="1:22" x14ac:dyDescent="0.3">
      <c r="A484" s="757">
        <f>'D-2 Off-Site Habitat Creation'!AF240</f>
        <v>0</v>
      </c>
      <c r="M484" s="757">
        <f>'E-2 Off-Site Hedge Creation'!AD241</f>
        <v>0</v>
      </c>
      <c r="V484" s="1">
        <f>'F-2 Off-Site WaterC'' Creation'!AG241</f>
        <v>0</v>
      </c>
    </row>
    <row r="485" spans="1:22" x14ac:dyDescent="0.3">
      <c r="A485" s="757">
        <f>'D-2 Off-Site Habitat Creation'!AF241</f>
        <v>0</v>
      </c>
      <c r="M485" s="757">
        <f>'E-2 Off-Site Hedge Creation'!AD242</f>
        <v>0</v>
      </c>
      <c r="V485" s="1">
        <f>'F-2 Off-Site WaterC'' Creation'!AG242</f>
        <v>0</v>
      </c>
    </row>
    <row r="486" spans="1:22" x14ac:dyDescent="0.3">
      <c r="A486" s="757">
        <f>'D-2 Off-Site Habitat Creation'!AF242</f>
        <v>0</v>
      </c>
      <c r="M486" s="757">
        <f>'E-2 Off-Site Hedge Creation'!AD243</f>
        <v>0</v>
      </c>
      <c r="V486" s="1">
        <f>'F-2 Off-Site WaterC'' Creation'!AG243</f>
        <v>0</v>
      </c>
    </row>
    <row r="487" spans="1:22" x14ac:dyDescent="0.3">
      <c r="A487" s="757">
        <f>'D-2 Off-Site Habitat Creation'!AF243</f>
        <v>0</v>
      </c>
      <c r="M487" s="757">
        <f>'E-2 Off-Site Hedge Creation'!AD244</f>
        <v>0</v>
      </c>
      <c r="V487" s="1">
        <f>'F-2 Off-Site WaterC'' Creation'!AG244</f>
        <v>0</v>
      </c>
    </row>
    <row r="488" spans="1:22" x14ac:dyDescent="0.3">
      <c r="A488" s="757">
        <f>'D-2 Off-Site Habitat Creation'!AF244</f>
        <v>0</v>
      </c>
      <c r="M488" s="757">
        <f>'E-2 Off-Site Hedge Creation'!AD245</f>
        <v>0</v>
      </c>
      <c r="V488" s="1">
        <f>'F-2 Off-Site WaterC'' Creation'!AG245</f>
        <v>0</v>
      </c>
    </row>
    <row r="489" spans="1:22" x14ac:dyDescent="0.3">
      <c r="A489" s="757">
        <f>'D-2 Off-Site Habitat Creation'!AF245</f>
        <v>0</v>
      </c>
      <c r="M489" s="757">
        <f>'E-2 Off-Site Hedge Creation'!AD246</f>
        <v>0</v>
      </c>
      <c r="V489" s="1">
        <f>'F-2 Off-Site WaterC'' Creation'!AG246</f>
        <v>0</v>
      </c>
    </row>
    <row r="490" spans="1:22" x14ac:dyDescent="0.3">
      <c r="A490" s="757">
        <f>'D-2 Off-Site Habitat Creation'!AF246</f>
        <v>0</v>
      </c>
      <c r="M490" s="757">
        <f>'E-2 Off-Site Hedge Creation'!AD247</f>
        <v>0</v>
      </c>
      <c r="V490" s="1">
        <f>'F-2 Off-Site WaterC'' Creation'!AG247</f>
        <v>0</v>
      </c>
    </row>
    <row r="491" spans="1:22" x14ac:dyDescent="0.3">
      <c r="A491" s="757">
        <f>'D-2 Off-Site Habitat Creation'!AF247</f>
        <v>0</v>
      </c>
      <c r="M491" s="757">
        <f>'E-2 Off-Site Hedge Creation'!AD248</f>
        <v>0</v>
      </c>
      <c r="V491" s="1">
        <f>'F-2 Off-Site WaterC'' Creation'!AG248</f>
        <v>0</v>
      </c>
    </row>
    <row r="492" spans="1:22" x14ac:dyDescent="0.3">
      <c r="A492" s="757">
        <f>'D-2 Off-Site Habitat Creation'!AF248</f>
        <v>0</v>
      </c>
      <c r="M492" s="757">
        <f>'E-2 Off-Site Hedge Creation'!AD249</f>
        <v>0</v>
      </c>
      <c r="V492" s="1">
        <f>'F-2 Off-Site WaterC'' Creation'!AG249</f>
        <v>0</v>
      </c>
    </row>
    <row r="493" spans="1:22" x14ac:dyDescent="0.3">
      <c r="A493" s="757">
        <f>'D-2 Off-Site Habitat Creation'!AF249</f>
        <v>0</v>
      </c>
      <c r="M493" s="757">
        <f>'E-2 Off-Site Hedge Creation'!AD250</f>
        <v>0</v>
      </c>
      <c r="V493" s="1">
        <f>'F-2 Off-Site WaterC'' Creation'!AG250</f>
        <v>0</v>
      </c>
    </row>
    <row r="494" spans="1:22" x14ac:dyDescent="0.3">
      <c r="A494" s="757">
        <f>'D-2 Off-Site Habitat Creation'!AF250</f>
        <v>0</v>
      </c>
      <c r="M494" s="757">
        <f>'E-2 Off-Site Hedge Creation'!AD251</f>
        <v>0</v>
      </c>
      <c r="V494" s="1">
        <f>'F-2 Off-Site WaterC'' Creation'!AG251</f>
        <v>0</v>
      </c>
    </row>
    <row r="495" spans="1:22" x14ac:dyDescent="0.3">
      <c r="A495" s="757">
        <f>'D-2 Off-Site Habitat Creation'!AF251</f>
        <v>0</v>
      </c>
      <c r="M495" s="757">
        <f>'E-2 Off-Site Hedge Creation'!AD252</f>
        <v>0</v>
      </c>
      <c r="V495" s="1">
        <f>'F-2 Off-Site WaterC'' Creation'!AG252</f>
        <v>0</v>
      </c>
    </row>
    <row r="496" spans="1:22" x14ac:dyDescent="0.3">
      <c r="A496" s="757">
        <f>'D-2 Off-Site Habitat Creation'!AF252</f>
        <v>0</v>
      </c>
      <c r="M496" s="757">
        <f>'E-2 Off-Site Hedge Creation'!AD253</f>
        <v>0</v>
      </c>
      <c r="V496" s="1">
        <f>'F-2 Off-Site WaterC'' Creation'!AG253</f>
        <v>0</v>
      </c>
    </row>
    <row r="497" spans="1:22" x14ac:dyDescent="0.3">
      <c r="A497" s="757">
        <f>'D-2 Off-Site Habitat Creation'!AF253</f>
        <v>0</v>
      </c>
      <c r="M497" s="757">
        <f>'E-2 Off-Site Hedge Creation'!AD254</f>
        <v>0</v>
      </c>
      <c r="V497" s="1">
        <f>'F-2 Off-Site WaterC'' Creation'!AG254</f>
        <v>0</v>
      </c>
    </row>
    <row r="498" spans="1:22" x14ac:dyDescent="0.3">
      <c r="A498" s="757">
        <f>'D-2 Off-Site Habitat Creation'!AF254</f>
        <v>0</v>
      </c>
      <c r="M498" s="757">
        <f>'E-2 Off-Site Hedge Creation'!AD255</f>
        <v>0</v>
      </c>
      <c r="V498" s="1">
        <f>'F-2 Off-Site WaterC'' Creation'!AG255</f>
        <v>0</v>
      </c>
    </row>
    <row r="499" spans="1:22" x14ac:dyDescent="0.3">
      <c r="A499" s="757">
        <f>'D-2 Off-Site Habitat Creation'!AF255</f>
        <v>0</v>
      </c>
      <c r="M499" s="757">
        <f>'E-2 Off-Site Hedge Creation'!AD256</f>
        <v>0</v>
      </c>
      <c r="V499" s="1">
        <f>'F-2 Off-Site WaterC'' Creation'!AG256</f>
        <v>0</v>
      </c>
    </row>
    <row r="500" spans="1:22" x14ac:dyDescent="0.3">
      <c r="A500" s="757">
        <f>'D-2 Off-Site Habitat Creation'!AF256</f>
        <v>0</v>
      </c>
      <c r="M500" s="757">
        <f>'E-3 Off-Site Hedge Enhancement'!AO12</f>
        <v>0</v>
      </c>
      <c r="V500" s="1">
        <f>'F-2 Off-Site WaterC'' Creation'!AG257</f>
        <v>0</v>
      </c>
    </row>
    <row r="501" spans="1:22" x14ac:dyDescent="0.3">
      <c r="A501" s="757">
        <f>'D-3 Off-Site Habitat Enhancment'!AU12</f>
        <v>0</v>
      </c>
      <c r="M501" s="757">
        <f>'E-3 Off-Site Hedge Enhancement'!AO13</f>
        <v>0</v>
      </c>
      <c r="V501" s="1">
        <f>'F-2 Off-Site WaterC'' Creation'!AG258</f>
        <v>0</v>
      </c>
    </row>
    <row r="502" spans="1:22" x14ac:dyDescent="0.3">
      <c r="A502" s="757">
        <f>'D-3 Off-Site Habitat Enhancment'!AU13</f>
        <v>0</v>
      </c>
      <c r="M502" s="757">
        <f>'E-3 Off-Site Hedge Enhancement'!AO14</f>
        <v>0</v>
      </c>
      <c r="V502" s="1">
        <f>'F-2 Off-Site WaterC'' Creation'!AG259</f>
        <v>0</v>
      </c>
    </row>
    <row r="503" spans="1:22" x14ac:dyDescent="0.3">
      <c r="A503" s="757">
        <f>'D-3 Off-Site Habitat Enhancment'!AU14</f>
        <v>0</v>
      </c>
      <c r="M503" s="757">
        <f>'E-3 Off-Site Hedge Enhancement'!AO15</f>
        <v>0</v>
      </c>
      <c r="V503" s="1">
        <f>'F-3 Off-Site WaterC Enhancement'!AT12</f>
        <v>0</v>
      </c>
    </row>
    <row r="504" spans="1:22" x14ac:dyDescent="0.3">
      <c r="A504" s="757">
        <f>'D-3 Off-Site Habitat Enhancment'!AU15</f>
        <v>0</v>
      </c>
      <c r="M504" s="757">
        <f>'E-3 Off-Site Hedge Enhancement'!AO16</f>
        <v>0</v>
      </c>
      <c r="V504" s="1">
        <f>'F-3 Off-Site WaterC Enhancement'!AT13</f>
        <v>0</v>
      </c>
    </row>
    <row r="505" spans="1:22" x14ac:dyDescent="0.3">
      <c r="A505" s="757">
        <f>'D-3 Off-Site Habitat Enhancment'!AU16</f>
        <v>0</v>
      </c>
      <c r="M505" s="757">
        <f>'E-3 Off-Site Hedge Enhancement'!AO17</f>
        <v>0</v>
      </c>
      <c r="V505" s="1">
        <f>'F-3 Off-Site WaterC Enhancement'!AT14</f>
        <v>0</v>
      </c>
    </row>
    <row r="506" spans="1:22" x14ac:dyDescent="0.3">
      <c r="A506" s="757">
        <f>'D-3 Off-Site Habitat Enhancment'!AU17</f>
        <v>0</v>
      </c>
      <c r="M506" s="757">
        <f>'E-3 Off-Site Hedge Enhancement'!AO18</f>
        <v>0</v>
      </c>
      <c r="V506" s="1">
        <f>'F-3 Off-Site WaterC Enhancement'!AT15</f>
        <v>0</v>
      </c>
    </row>
    <row r="507" spans="1:22" x14ac:dyDescent="0.3">
      <c r="A507" s="757">
        <f>'D-3 Off-Site Habitat Enhancment'!AU18</f>
        <v>0</v>
      </c>
      <c r="M507" s="757">
        <f>'E-3 Off-Site Hedge Enhancement'!AO19</f>
        <v>0</v>
      </c>
      <c r="V507" s="1">
        <f>'F-3 Off-Site WaterC Enhancement'!AT16</f>
        <v>0</v>
      </c>
    </row>
    <row r="508" spans="1:22" x14ac:dyDescent="0.3">
      <c r="A508" s="757">
        <f>'D-3 Off-Site Habitat Enhancment'!AU19</f>
        <v>0</v>
      </c>
      <c r="M508" s="757">
        <f>'E-3 Off-Site Hedge Enhancement'!AO20</f>
        <v>0</v>
      </c>
      <c r="V508" s="1">
        <f>'F-3 Off-Site WaterC Enhancement'!AT17</f>
        <v>0</v>
      </c>
    </row>
    <row r="509" spans="1:22" x14ac:dyDescent="0.3">
      <c r="A509" s="757">
        <f>'D-3 Off-Site Habitat Enhancment'!AU20</f>
        <v>0</v>
      </c>
      <c r="M509" s="757">
        <f>'E-3 Off-Site Hedge Enhancement'!AO21</f>
        <v>0</v>
      </c>
      <c r="V509" s="1">
        <f>'F-3 Off-Site WaterC Enhancement'!AT18</f>
        <v>0</v>
      </c>
    </row>
    <row r="510" spans="1:22" x14ac:dyDescent="0.3">
      <c r="A510" s="757">
        <f>'D-3 Off-Site Habitat Enhancment'!AU21</f>
        <v>0</v>
      </c>
      <c r="M510" s="757">
        <f>'E-3 Off-Site Hedge Enhancement'!AO22</f>
        <v>0</v>
      </c>
      <c r="V510" s="1">
        <f>'F-3 Off-Site WaterC Enhancement'!AT19</f>
        <v>0</v>
      </c>
    </row>
    <row r="511" spans="1:22" x14ac:dyDescent="0.3">
      <c r="A511" s="757">
        <f>'D-3 Off-Site Habitat Enhancment'!AU22</f>
        <v>0</v>
      </c>
      <c r="M511" s="757">
        <f>'E-3 Off-Site Hedge Enhancement'!AO23</f>
        <v>0</v>
      </c>
      <c r="V511" s="1">
        <f>'F-3 Off-Site WaterC Enhancement'!AT20</f>
        <v>0</v>
      </c>
    </row>
    <row r="512" spans="1:22" x14ac:dyDescent="0.3">
      <c r="A512" s="757">
        <f>'D-3 Off-Site Habitat Enhancment'!AU23</f>
        <v>0</v>
      </c>
      <c r="M512" s="757">
        <f>'E-3 Off-Site Hedge Enhancement'!AO24</f>
        <v>0</v>
      </c>
      <c r="V512" s="1">
        <f>'F-3 Off-Site WaterC Enhancement'!AT21</f>
        <v>0</v>
      </c>
    </row>
    <row r="513" spans="1:22" x14ac:dyDescent="0.3">
      <c r="A513" s="757">
        <f>'D-3 Off-Site Habitat Enhancment'!AU24</f>
        <v>0</v>
      </c>
      <c r="M513" s="757">
        <f>'E-3 Off-Site Hedge Enhancement'!AO25</f>
        <v>0</v>
      </c>
      <c r="V513" s="1">
        <f>'F-3 Off-Site WaterC Enhancement'!AT22</f>
        <v>0</v>
      </c>
    </row>
    <row r="514" spans="1:22" x14ac:dyDescent="0.3">
      <c r="A514" s="757">
        <f>'D-3 Off-Site Habitat Enhancment'!AU25</f>
        <v>0</v>
      </c>
      <c r="M514" s="757">
        <f>'E-3 Off-Site Hedge Enhancement'!AO26</f>
        <v>0</v>
      </c>
      <c r="V514" s="1">
        <f>'F-3 Off-Site WaterC Enhancement'!AT23</f>
        <v>0</v>
      </c>
    </row>
    <row r="515" spans="1:22" x14ac:dyDescent="0.3">
      <c r="A515" s="757">
        <f>'D-3 Off-Site Habitat Enhancment'!AU26</f>
        <v>0</v>
      </c>
      <c r="M515" s="757">
        <f>'E-3 Off-Site Hedge Enhancement'!AO27</f>
        <v>0</v>
      </c>
      <c r="V515" s="1">
        <f>'F-3 Off-Site WaterC Enhancement'!AT24</f>
        <v>0</v>
      </c>
    </row>
    <row r="516" spans="1:22" x14ac:dyDescent="0.3">
      <c r="A516" s="757">
        <f>'D-3 Off-Site Habitat Enhancment'!AU27</f>
        <v>0</v>
      </c>
      <c r="M516" s="757">
        <f>'E-3 Off-Site Hedge Enhancement'!AO28</f>
        <v>0</v>
      </c>
      <c r="V516" s="1">
        <f>'F-3 Off-Site WaterC Enhancement'!AT25</f>
        <v>0</v>
      </c>
    </row>
    <row r="517" spans="1:22" x14ac:dyDescent="0.3">
      <c r="A517" s="757">
        <f>'D-3 Off-Site Habitat Enhancment'!AU28</f>
        <v>0</v>
      </c>
      <c r="M517" s="757">
        <f>'E-3 Off-Site Hedge Enhancement'!AO29</f>
        <v>0</v>
      </c>
      <c r="V517" s="1">
        <f>'F-3 Off-Site WaterC Enhancement'!AT26</f>
        <v>0</v>
      </c>
    </row>
    <row r="518" spans="1:22" x14ac:dyDescent="0.3">
      <c r="A518" s="757">
        <f>'D-3 Off-Site Habitat Enhancment'!AU29</f>
        <v>0</v>
      </c>
      <c r="M518" s="757">
        <f>'E-3 Off-Site Hedge Enhancement'!AO30</f>
        <v>0</v>
      </c>
      <c r="V518" s="1">
        <f>'F-3 Off-Site WaterC Enhancement'!AT27</f>
        <v>0</v>
      </c>
    </row>
    <row r="519" spans="1:22" x14ac:dyDescent="0.3">
      <c r="A519" s="757">
        <f>'D-3 Off-Site Habitat Enhancment'!AU30</f>
        <v>0</v>
      </c>
      <c r="M519" s="757">
        <f>'E-3 Off-Site Hedge Enhancement'!AO31</f>
        <v>0</v>
      </c>
      <c r="V519" s="1">
        <f>'F-3 Off-Site WaterC Enhancement'!AT28</f>
        <v>0</v>
      </c>
    </row>
    <row r="520" spans="1:22" x14ac:dyDescent="0.3">
      <c r="A520" s="757">
        <f>'D-3 Off-Site Habitat Enhancment'!AU31</f>
        <v>0</v>
      </c>
      <c r="M520" s="757">
        <f>'E-3 Off-Site Hedge Enhancement'!AO32</f>
        <v>0</v>
      </c>
      <c r="V520" s="1">
        <f>'F-3 Off-Site WaterC Enhancement'!AT29</f>
        <v>0</v>
      </c>
    </row>
    <row r="521" spans="1:22" x14ac:dyDescent="0.3">
      <c r="A521" s="757">
        <f>'D-3 Off-Site Habitat Enhancment'!AU32</f>
        <v>0</v>
      </c>
      <c r="M521" s="757">
        <f>'E-3 Off-Site Hedge Enhancement'!AO33</f>
        <v>0</v>
      </c>
      <c r="V521" s="1">
        <f>'F-3 Off-Site WaterC Enhancement'!AT30</f>
        <v>0</v>
      </c>
    </row>
    <row r="522" spans="1:22" x14ac:dyDescent="0.3">
      <c r="A522" s="757">
        <f>'D-3 Off-Site Habitat Enhancment'!AU33</f>
        <v>0</v>
      </c>
      <c r="M522" s="757">
        <f>'E-3 Off-Site Hedge Enhancement'!AO34</f>
        <v>0</v>
      </c>
      <c r="V522" s="1">
        <f>'F-3 Off-Site WaterC Enhancement'!AT31</f>
        <v>0</v>
      </c>
    </row>
    <row r="523" spans="1:22" x14ac:dyDescent="0.3">
      <c r="A523" s="757">
        <f>'D-3 Off-Site Habitat Enhancment'!AU34</f>
        <v>0</v>
      </c>
      <c r="M523" s="757">
        <f>'E-3 Off-Site Hedge Enhancement'!AO35</f>
        <v>0</v>
      </c>
      <c r="V523" s="1">
        <f>'F-3 Off-Site WaterC Enhancement'!AT32</f>
        <v>0</v>
      </c>
    </row>
    <row r="524" spans="1:22" x14ac:dyDescent="0.3">
      <c r="A524" s="757">
        <f>'D-3 Off-Site Habitat Enhancment'!AU35</f>
        <v>0</v>
      </c>
      <c r="M524" s="757">
        <f>'E-3 Off-Site Hedge Enhancement'!AO36</f>
        <v>0</v>
      </c>
      <c r="V524" s="1">
        <f>'F-3 Off-Site WaterC Enhancement'!AT33</f>
        <v>0</v>
      </c>
    </row>
    <row r="525" spans="1:22" x14ac:dyDescent="0.3">
      <c r="A525" s="757">
        <f>'D-3 Off-Site Habitat Enhancment'!AU36</f>
        <v>0</v>
      </c>
      <c r="M525" s="757">
        <f>'E-3 Off-Site Hedge Enhancement'!AO37</f>
        <v>0</v>
      </c>
      <c r="V525" s="1">
        <f>'F-3 Off-Site WaterC Enhancement'!AT34</f>
        <v>0</v>
      </c>
    </row>
    <row r="526" spans="1:22" x14ac:dyDescent="0.3">
      <c r="A526" s="757">
        <f>'D-3 Off-Site Habitat Enhancment'!AU37</f>
        <v>0</v>
      </c>
      <c r="M526" s="757">
        <f>'E-3 Off-Site Hedge Enhancement'!AO38</f>
        <v>0</v>
      </c>
      <c r="V526" s="1">
        <f>'F-3 Off-Site WaterC Enhancement'!AT35</f>
        <v>0</v>
      </c>
    </row>
    <row r="527" spans="1:22" x14ac:dyDescent="0.3">
      <c r="A527" s="757">
        <f>'D-3 Off-Site Habitat Enhancment'!AU38</f>
        <v>0</v>
      </c>
      <c r="M527" s="757">
        <f>'E-3 Off-Site Hedge Enhancement'!AO39</f>
        <v>0</v>
      </c>
      <c r="V527" s="1">
        <f>'F-3 Off-Site WaterC Enhancement'!AT36</f>
        <v>0</v>
      </c>
    </row>
    <row r="528" spans="1:22" x14ac:dyDescent="0.3">
      <c r="A528" s="757">
        <f>'D-3 Off-Site Habitat Enhancment'!AU39</f>
        <v>0</v>
      </c>
      <c r="M528" s="757">
        <f>'E-3 Off-Site Hedge Enhancement'!AO40</f>
        <v>0</v>
      </c>
      <c r="V528" s="1">
        <f>'F-3 Off-Site WaterC Enhancement'!AT37</f>
        <v>0</v>
      </c>
    </row>
    <row r="529" spans="1:22" x14ac:dyDescent="0.3">
      <c r="A529" s="757">
        <f>'D-3 Off-Site Habitat Enhancment'!AU40</f>
        <v>0</v>
      </c>
      <c r="M529" s="757">
        <f>'E-3 Off-Site Hedge Enhancement'!AO41</f>
        <v>0</v>
      </c>
      <c r="V529" s="1">
        <f>'F-3 Off-Site WaterC Enhancement'!AT38</f>
        <v>0</v>
      </c>
    </row>
    <row r="530" spans="1:22" x14ac:dyDescent="0.3">
      <c r="A530" s="757">
        <f>'D-3 Off-Site Habitat Enhancment'!AU41</f>
        <v>0</v>
      </c>
      <c r="M530" s="757">
        <f>'E-3 Off-Site Hedge Enhancement'!AO42</f>
        <v>0</v>
      </c>
      <c r="V530" s="1">
        <f>'F-3 Off-Site WaterC Enhancement'!AT39</f>
        <v>0</v>
      </c>
    </row>
    <row r="531" spans="1:22" x14ac:dyDescent="0.3">
      <c r="A531" s="757">
        <f>'D-3 Off-Site Habitat Enhancment'!AU42</f>
        <v>0</v>
      </c>
      <c r="M531" s="757">
        <f>'E-3 Off-Site Hedge Enhancement'!AO43</f>
        <v>0</v>
      </c>
      <c r="V531" s="1">
        <f>'F-3 Off-Site WaterC Enhancement'!AT40</f>
        <v>0</v>
      </c>
    </row>
    <row r="532" spans="1:22" x14ac:dyDescent="0.3">
      <c r="A532" s="757">
        <f>'D-3 Off-Site Habitat Enhancment'!AU43</f>
        <v>0</v>
      </c>
      <c r="M532" s="757">
        <f>'E-3 Off-Site Hedge Enhancement'!AO44</f>
        <v>0</v>
      </c>
      <c r="V532" s="1">
        <f>'F-3 Off-Site WaterC Enhancement'!AT41</f>
        <v>0</v>
      </c>
    </row>
    <row r="533" spans="1:22" x14ac:dyDescent="0.3">
      <c r="A533" s="757">
        <f>'D-3 Off-Site Habitat Enhancment'!AU44</f>
        <v>0</v>
      </c>
      <c r="M533" s="757">
        <f>'E-3 Off-Site Hedge Enhancement'!AO45</f>
        <v>0</v>
      </c>
      <c r="V533" s="1">
        <f>'F-3 Off-Site WaterC Enhancement'!AT42</f>
        <v>0</v>
      </c>
    </row>
    <row r="534" spans="1:22" x14ac:dyDescent="0.3">
      <c r="A534" s="757">
        <f>'D-3 Off-Site Habitat Enhancment'!AU45</f>
        <v>0</v>
      </c>
      <c r="M534" s="757">
        <f>'E-3 Off-Site Hedge Enhancement'!AO46</f>
        <v>0</v>
      </c>
      <c r="V534" s="1">
        <f>'F-3 Off-Site WaterC Enhancement'!AT43</f>
        <v>0</v>
      </c>
    </row>
    <row r="535" spans="1:22" x14ac:dyDescent="0.3">
      <c r="A535" s="757">
        <f>'D-3 Off-Site Habitat Enhancment'!AU46</f>
        <v>0</v>
      </c>
      <c r="M535" s="757">
        <f>'E-3 Off-Site Hedge Enhancement'!AO47</f>
        <v>0</v>
      </c>
      <c r="V535" s="1">
        <f>'F-3 Off-Site WaterC Enhancement'!AT44</f>
        <v>0</v>
      </c>
    </row>
    <row r="536" spans="1:22" x14ac:dyDescent="0.3">
      <c r="A536" s="757">
        <f>'D-3 Off-Site Habitat Enhancment'!AU47</f>
        <v>0</v>
      </c>
      <c r="M536" s="757">
        <f>'E-3 Off-Site Hedge Enhancement'!AO48</f>
        <v>0</v>
      </c>
      <c r="V536" s="1">
        <f>'F-3 Off-Site WaterC Enhancement'!AT45</f>
        <v>0</v>
      </c>
    </row>
    <row r="537" spans="1:22" x14ac:dyDescent="0.3">
      <c r="A537" s="757">
        <f>'D-3 Off-Site Habitat Enhancment'!AU48</f>
        <v>0</v>
      </c>
      <c r="M537" s="757">
        <f>'E-3 Off-Site Hedge Enhancement'!AO49</f>
        <v>0</v>
      </c>
      <c r="V537" s="1">
        <f>'F-3 Off-Site WaterC Enhancement'!AT46</f>
        <v>0</v>
      </c>
    </row>
    <row r="538" spans="1:22" x14ac:dyDescent="0.3">
      <c r="A538" s="757">
        <f>'D-3 Off-Site Habitat Enhancment'!AU49</f>
        <v>0</v>
      </c>
      <c r="M538" s="757">
        <f>'E-3 Off-Site Hedge Enhancement'!AO50</f>
        <v>0</v>
      </c>
      <c r="V538" s="1">
        <f>'F-3 Off-Site WaterC Enhancement'!AT47</f>
        <v>0</v>
      </c>
    </row>
    <row r="539" spans="1:22" x14ac:dyDescent="0.3">
      <c r="A539" s="757">
        <f>'D-3 Off-Site Habitat Enhancment'!AU50</f>
        <v>0</v>
      </c>
      <c r="M539" s="757">
        <f>'E-3 Off-Site Hedge Enhancement'!AO51</f>
        <v>0</v>
      </c>
      <c r="V539" s="1">
        <f>'F-3 Off-Site WaterC Enhancement'!AT48</f>
        <v>0</v>
      </c>
    </row>
    <row r="540" spans="1:22" x14ac:dyDescent="0.3">
      <c r="A540" s="757">
        <f>'D-3 Off-Site Habitat Enhancment'!AU51</f>
        <v>0</v>
      </c>
      <c r="M540" s="757">
        <f>'E-3 Off-Site Hedge Enhancement'!AO52</f>
        <v>0</v>
      </c>
      <c r="V540" s="1">
        <f>'F-3 Off-Site WaterC Enhancement'!AT49</f>
        <v>0</v>
      </c>
    </row>
    <row r="541" spans="1:22" x14ac:dyDescent="0.3">
      <c r="A541" s="757">
        <f>'D-3 Off-Site Habitat Enhancment'!AU52</f>
        <v>0</v>
      </c>
      <c r="M541" s="757">
        <f>'E-3 Off-Site Hedge Enhancement'!AO53</f>
        <v>0</v>
      </c>
      <c r="V541" s="1">
        <f>'F-3 Off-Site WaterC Enhancement'!AT50</f>
        <v>0</v>
      </c>
    </row>
    <row r="542" spans="1:22" x14ac:dyDescent="0.3">
      <c r="A542" s="757">
        <f>'D-3 Off-Site Habitat Enhancment'!AU53</f>
        <v>0</v>
      </c>
      <c r="M542" s="757">
        <f>'E-3 Off-Site Hedge Enhancement'!AO54</f>
        <v>0</v>
      </c>
      <c r="V542" s="1">
        <f>'F-3 Off-Site WaterC Enhancement'!AT51</f>
        <v>0</v>
      </c>
    </row>
    <row r="543" spans="1:22" x14ac:dyDescent="0.3">
      <c r="A543" s="757">
        <f>'D-3 Off-Site Habitat Enhancment'!AU54</f>
        <v>0</v>
      </c>
      <c r="M543" s="757">
        <f>'E-3 Off-Site Hedge Enhancement'!AO55</f>
        <v>0</v>
      </c>
      <c r="V543" s="1">
        <f>'F-3 Off-Site WaterC Enhancement'!AT52</f>
        <v>0</v>
      </c>
    </row>
    <row r="544" spans="1:22" x14ac:dyDescent="0.3">
      <c r="A544" s="757">
        <f>'D-3 Off-Site Habitat Enhancment'!AU55</f>
        <v>0</v>
      </c>
      <c r="M544" s="757">
        <f>'E-3 Off-Site Hedge Enhancement'!AO56</f>
        <v>0</v>
      </c>
      <c r="V544" s="1">
        <f>'F-3 Off-Site WaterC Enhancement'!AT53</f>
        <v>0</v>
      </c>
    </row>
    <row r="545" spans="1:22" x14ac:dyDescent="0.3">
      <c r="A545" s="757">
        <f>'D-3 Off-Site Habitat Enhancment'!AU56</f>
        <v>0</v>
      </c>
      <c r="M545" s="757">
        <f>'E-3 Off-Site Hedge Enhancement'!AO57</f>
        <v>0</v>
      </c>
      <c r="V545" s="1">
        <f>'F-3 Off-Site WaterC Enhancement'!AT54</f>
        <v>0</v>
      </c>
    </row>
    <row r="546" spans="1:22" x14ac:dyDescent="0.3">
      <c r="A546" s="757">
        <f>'D-3 Off-Site Habitat Enhancment'!AU57</f>
        <v>0</v>
      </c>
      <c r="M546" s="757">
        <f>'E-3 Off-Site Hedge Enhancement'!AO58</f>
        <v>0</v>
      </c>
      <c r="V546" s="1">
        <f>'F-3 Off-Site WaterC Enhancement'!AT55</f>
        <v>0</v>
      </c>
    </row>
    <row r="547" spans="1:22" x14ac:dyDescent="0.3">
      <c r="A547" s="757">
        <f>'D-3 Off-Site Habitat Enhancment'!AU58</f>
        <v>0</v>
      </c>
      <c r="M547" s="757">
        <f>'E-3 Off-Site Hedge Enhancement'!AO59</f>
        <v>0</v>
      </c>
      <c r="V547" s="1">
        <f>'F-3 Off-Site WaterC Enhancement'!AT56</f>
        <v>0</v>
      </c>
    </row>
    <row r="548" spans="1:22" x14ac:dyDescent="0.3">
      <c r="A548" s="757">
        <f>'D-3 Off-Site Habitat Enhancment'!AU59</f>
        <v>0</v>
      </c>
      <c r="M548" s="757">
        <f>'E-3 Off-Site Hedge Enhancement'!AO60</f>
        <v>0</v>
      </c>
      <c r="V548" s="1">
        <f>'F-3 Off-Site WaterC Enhancement'!AT57</f>
        <v>0</v>
      </c>
    </row>
    <row r="549" spans="1:22" x14ac:dyDescent="0.3">
      <c r="A549" s="757">
        <f>'D-3 Off-Site Habitat Enhancment'!AU60</f>
        <v>0</v>
      </c>
      <c r="M549" s="757">
        <f>'E-3 Off-Site Hedge Enhancement'!AO61</f>
        <v>0</v>
      </c>
      <c r="V549" s="1">
        <f>'F-3 Off-Site WaterC Enhancement'!AT58</f>
        <v>0</v>
      </c>
    </row>
    <row r="550" spans="1:22" x14ac:dyDescent="0.3">
      <c r="A550" s="757">
        <f>'D-3 Off-Site Habitat Enhancment'!AU61</f>
        <v>0</v>
      </c>
      <c r="M550" s="757">
        <f>'E-3 Off-Site Hedge Enhancement'!AO62</f>
        <v>0</v>
      </c>
      <c r="V550" s="1">
        <f>'F-3 Off-Site WaterC Enhancement'!AT59</f>
        <v>0</v>
      </c>
    </row>
    <row r="551" spans="1:22" x14ac:dyDescent="0.3">
      <c r="A551" s="757">
        <f>'D-3 Off-Site Habitat Enhancment'!AU62</f>
        <v>0</v>
      </c>
      <c r="M551" s="757">
        <f>'E-3 Off-Site Hedge Enhancement'!AO63</f>
        <v>0</v>
      </c>
      <c r="V551" s="1">
        <f>'F-3 Off-Site WaterC Enhancement'!AT60</f>
        <v>0</v>
      </c>
    </row>
    <row r="552" spans="1:22" x14ac:dyDescent="0.3">
      <c r="A552" s="757">
        <f>'D-3 Off-Site Habitat Enhancment'!AU63</f>
        <v>0</v>
      </c>
      <c r="M552" s="757">
        <f>'E-3 Off-Site Hedge Enhancement'!AO64</f>
        <v>0</v>
      </c>
      <c r="V552" s="1">
        <f>'F-3 Off-Site WaterC Enhancement'!AT61</f>
        <v>0</v>
      </c>
    </row>
    <row r="553" spans="1:22" x14ac:dyDescent="0.3">
      <c r="A553" s="757">
        <f>'D-3 Off-Site Habitat Enhancment'!AU64</f>
        <v>0</v>
      </c>
      <c r="M553" s="757">
        <f>'E-3 Off-Site Hedge Enhancement'!AO65</f>
        <v>0</v>
      </c>
      <c r="V553" s="1">
        <f>'F-3 Off-Site WaterC Enhancement'!AT62</f>
        <v>0</v>
      </c>
    </row>
    <row r="554" spans="1:22" x14ac:dyDescent="0.3">
      <c r="A554" s="757">
        <f>'D-3 Off-Site Habitat Enhancment'!AU65</f>
        <v>0</v>
      </c>
      <c r="M554" s="757">
        <f>'E-3 Off-Site Hedge Enhancement'!AO66</f>
        <v>0</v>
      </c>
      <c r="V554" s="1">
        <f>'F-3 Off-Site WaterC Enhancement'!AT63</f>
        <v>0</v>
      </c>
    </row>
    <row r="555" spans="1:22" x14ac:dyDescent="0.3">
      <c r="A555" s="757">
        <f>'D-3 Off-Site Habitat Enhancment'!AU66</f>
        <v>0</v>
      </c>
      <c r="M555" s="757">
        <f>'E-3 Off-Site Hedge Enhancement'!AO67</f>
        <v>0</v>
      </c>
      <c r="V555" s="1">
        <f>'F-3 Off-Site WaterC Enhancement'!AT64</f>
        <v>0</v>
      </c>
    </row>
    <row r="556" spans="1:22" x14ac:dyDescent="0.3">
      <c r="A556" s="757">
        <f>'D-3 Off-Site Habitat Enhancment'!AU67</f>
        <v>0</v>
      </c>
      <c r="M556" s="757">
        <f>'E-3 Off-Site Hedge Enhancement'!AO68</f>
        <v>0</v>
      </c>
      <c r="V556" s="1">
        <f>'F-3 Off-Site WaterC Enhancement'!AT65</f>
        <v>0</v>
      </c>
    </row>
    <row r="557" spans="1:22" x14ac:dyDescent="0.3">
      <c r="A557" s="757">
        <f>'D-3 Off-Site Habitat Enhancment'!AU68</f>
        <v>0</v>
      </c>
      <c r="M557" s="757">
        <f>'E-3 Off-Site Hedge Enhancement'!AO69</f>
        <v>0</v>
      </c>
      <c r="V557" s="1">
        <f>'F-3 Off-Site WaterC Enhancement'!AT66</f>
        <v>0</v>
      </c>
    </row>
    <row r="558" spans="1:22" x14ac:dyDescent="0.3">
      <c r="A558" s="757">
        <f>'D-3 Off-Site Habitat Enhancment'!AU69</f>
        <v>0</v>
      </c>
      <c r="M558" s="757">
        <f>'E-3 Off-Site Hedge Enhancement'!AO70</f>
        <v>0</v>
      </c>
      <c r="V558" s="1">
        <f>'F-3 Off-Site WaterC Enhancement'!AT67</f>
        <v>0</v>
      </c>
    </row>
    <row r="559" spans="1:22" x14ac:dyDescent="0.3">
      <c r="A559" s="757">
        <f>'D-3 Off-Site Habitat Enhancment'!AU70</f>
        <v>0</v>
      </c>
      <c r="M559" s="757">
        <f>'E-3 Off-Site Hedge Enhancement'!AO71</f>
        <v>0</v>
      </c>
      <c r="V559" s="1">
        <f>'F-3 Off-Site WaterC Enhancement'!AT68</f>
        <v>0</v>
      </c>
    </row>
    <row r="560" spans="1:22" x14ac:dyDescent="0.3">
      <c r="A560" s="757">
        <f>'D-3 Off-Site Habitat Enhancment'!AU71</f>
        <v>0</v>
      </c>
      <c r="M560" s="757">
        <f>'E-3 Off-Site Hedge Enhancement'!AO72</f>
        <v>0</v>
      </c>
      <c r="V560" s="1">
        <f>'F-3 Off-Site WaterC Enhancement'!AT69</f>
        <v>0</v>
      </c>
    </row>
    <row r="561" spans="1:22" x14ac:dyDescent="0.3">
      <c r="A561" s="757">
        <f>'D-3 Off-Site Habitat Enhancment'!AU72</f>
        <v>0</v>
      </c>
      <c r="M561" s="757">
        <f>'E-3 Off-Site Hedge Enhancement'!AO73</f>
        <v>0</v>
      </c>
      <c r="V561" s="1">
        <f>'F-3 Off-Site WaterC Enhancement'!AT70</f>
        <v>0</v>
      </c>
    </row>
    <row r="562" spans="1:22" x14ac:dyDescent="0.3">
      <c r="A562" s="757">
        <f>'D-3 Off-Site Habitat Enhancment'!AU73</f>
        <v>0</v>
      </c>
      <c r="M562" s="757">
        <f>'E-3 Off-Site Hedge Enhancement'!AO74</f>
        <v>0</v>
      </c>
      <c r="V562" s="1">
        <f>'F-3 Off-Site WaterC Enhancement'!AT71</f>
        <v>0</v>
      </c>
    </row>
    <row r="563" spans="1:22" x14ac:dyDescent="0.3">
      <c r="A563" s="757">
        <f>'D-3 Off-Site Habitat Enhancment'!AU74</f>
        <v>0</v>
      </c>
      <c r="M563" s="757">
        <f>'E-3 Off-Site Hedge Enhancement'!AO75</f>
        <v>0</v>
      </c>
      <c r="V563" s="1">
        <f>'F-3 Off-Site WaterC Enhancement'!AT72</f>
        <v>0</v>
      </c>
    </row>
    <row r="564" spans="1:22" x14ac:dyDescent="0.3">
      <c r="A564" s="757">
        <f>'D-3 Off-Site Habitat Enhancment'!AU75</f>
        <v>0</v>
      </c>
      <c r="M564" s="757">
        <f>'E-3 Off-Site Hedge Enhancement'!AO76</f>
        <v>0</v>
      </c>
      <c r="V564" s="1">
        <f>'F-3 Off-Site WaterC Enhancement'!AT73</f>
        <v>0</v>
      </c>
    </row>
    <row r="565" spans="1:22" x14ac:dyDescent="0.3">
      <c r="A565" s="757">
        <f>'D-3 Off-Site Habitat Enhancment'!AU76</f>
        <v>0</v>
      </c>
      <c r="M565" s="757">
        <f>'E-3 Off-Site Hedge Enhancement'!AO77</f>
        <v>0</v>
      </c>
      <c r="V565" s="1">
        <f>'F-3 Off-Site WaterC Enhancement'!AT74</f>
        <v>0</v>
      </c>
    </row>
    <row r="566" spans="1:22" x14ac:dyDescent="0.3">
      <c r="A566" s="757">
        <f>'D-3 Off-Site Habitat Enhancment'!AU77</f>
        <v>0</v>
      </c>
      <c r="M566" s="757">
        <f>'E-3 Off-Site Hedge Enhancement'!AO78</f>
        <v>0</v>
      </c>
      <c r="V566" s="1">
        <f>'F-3 Off-Site WaterC Enhancement'!AT75</f>
        <v>0</v>
      </c>
    </row>
    <row r="567" spans="1:22" x14ac:dyDescent="0.3">
      <c r="A567" s="757">
        <f>'D-3 Off-Site Habitat Enhancment'!AU78</f>
        <v>0</v>
      </c>
      <c r="M567" s="757">
        <f>'E-3 Off-Site Hedge Enhancement'!AO79</f>
        <v>0</v>
      </c>
      <c r="V567" s="1">
        <f>'F-3 Off-Site WaterC Enhancement'!AT76</f>
        <v>0</v>
      </c>
    </row>
    <row r="568" spans="1:22" x14ac:dyDescent="0.3">
      <c r="A568" s="757">
        <f>'D-3 Off-Site Habitat Enhancment'!AU79</f>
        <v>0</v>
      </c>
      <c r="M568" s="757">
        <f>'E-3 Off-Site Hedge Enhancement'!AO80</f>
        <v>0</v>
      </c>
      <c r="V568" s="1">
        <f>'F-3 Off-Site WaterC Enhancement'!AT77</f>
        <v>0</v>
      </c>
    </row>
    <row r="569" spans="1:22" x14ac:dyDescent="0.3">
      <c r="A569" s="757">
        <f>'D-3 Off-Site Habitat Enhancment'!AU80</f>
        <v>0</v>
      </c>
      <c r="M569" s="757">
        <f>'E-3 Off-Site Hedge Enhancement'!AO81</f>
        <v>0</v>
      </c>
      <c r="V569" s="1">
        <f>'F-3 Off-Site WaterC Enhancement'!AT78</f>
        <v>0</v>
      </c>
    </row>
    <row r="570" spans="1:22" x14ac:dyDescent="0.3">
      <c r="A570" s="757">
        <f>'D-3 Off-Site Habitat Enhancment'!AU81</f>
        <v>0</v>
      </c>
      <c r="M570" s="757">
        <f>'E-3 Off-Site Hedge Enhancement'!AO82</f>
        <v>0</v>
      </c>
      <c r="V570" s="1">
        <f>'F-3 Off-Site WaterC Enhancement'!AT79</f>
        <v>0</v>
      </c>
    </row>
    <row r="571" spans="1:22" x14ac:dyDescent="0.3">
      <c r="A571" s="757">
        <f>'D-3 Off-Site Habitat Enhancment'!AU82</f>
        <v>0</v>
      </c>
      <c r="M571" s="757">
        <f>'E-3 Off-Site Hedge Enhancement'!AO83</f>
        <v>0</v>
      </c>
      <c r="V571" s="1">
        <f>'F-3 Off-Site WaterC Enhancement'!AT80</f>
        <v>0</v>
      </c>
    </row>
    <row r="572" spans="1:22" x14ac:dyDescent="0.3">
      <c r="A572" s="757">
        <f>'D-3 Off-Site Habitat Enhancment'!AU83</f>
        <v>0</v>
      </c>
      <c r="M572" s="757">
        <f>'E-3 Off-Site Hedge Enhancement'!AO84</f>
        <v>0</v>
      </c>
      <c r="V572" s="1">
        <f>'F-3 Off-Site WaterC Enhancement'!AT81</f>
        <v>0</v>
      </c>
    </row>
    <row r="573" spans="1:22" x14ac:dyDescent="0.3">
      <c r="A573" s="757">
        <f>'D-3 Off-Site Habitat Enhancment'!AU84</f>
        <v>0</v>
      </c>
      <c r="M573" s="757">
        <f>'E-3 Off-Site Hedge Enhancement'!AO85</f>
        <v>0</v>
      </c>
      <c r="V573" s="1">
        <f>'F-3 Off-Site WaterC Enhancement'!AT82</f>
        <v>0</v>
      </c>
    </row>
    <row r="574" spans="1:22" x14ac:dyDescent="0.3">
      <c r="A574" s="757">
        <f>'D-3 Off-Site Habitat Enhancment'!AU85</f>
        <v>0</v>
      </c>
      <c r="M574" s="757">
        <f>'E-3 Off-Site Hedge Enhancement'!AO86</f>
        <v>0</v>
      </c>
      <c r="V574" s="1">
        <f>'F-3 Off-Site WaterC Enhancement'!AT83</f>
        <v>0</v>
      </c>
    </row>
    <row r="575" spans="1:22" x14ac:dyDescent="0.3">
      <c r="A575" s="757">
        <f>'D-3 Off-Site Habitat Enhancment'!AU86</f>
        <v>0</v>
      </c>
      <c r="M575" s="757">
        <f>'E-3 Off-Site Hedge Enhancement'!AO87</f>
        <v>0</v>
      </c>
      <c r="V575" s="1">
        <f>'F-3 Off-Site WaterC Enhancement'!AT84</f>
        <v>0</v>
      </c>
    </row>
    <row r="576" spans="1:22" x14ac:dyDescent="0.3">
      <c r="A576" s="757">
        <f>'D-3 Off-Site Habitat Enhancment'!AU87</f>
        <v>0</v>
      </c>
      <c r="M576" s="757">
        <f>'E-3 Off-Site Hedge Enhancement'!AO88</f>
        <v>0</v>
      </c>
      <c r="V576" s="1">
        <f>'F-3 Off-Site WaterC Enhancement'!AT85</f>
        <v>0</v>
      </c>
    </row>
    <row r="577" spans="1:22" x14ac:dyDescent="0.3">
      <c r="A577" s="757">
        <f>'D-3 Off-Site Habitat Enhancment'!AU88</f>
        <v>0</v>
      </c>
      <c r="M577" s="757">
        <f>'E-3 Off-Site Hedge Enhancement'!AO89</f>
        <v>0</v>
      </c>
      <c r="V577" s="1">
        <f>'F-3 Off-Site WaterC Enhancement'!AT86</f>
        <v>0</v>
      </c>
    </row>
    <row r="578" spans="1:22" x14ac:dyDescent="0.3">
      <c r="A578" s="757">
        <f>'D-3 Off-Site Habitat Enhancment'!AU89</f>
        <v>0</v>
      </c>
      <c r="M578" s="757">
        <f>'E-3 Off-Site Hedge Enhancement'!AO90</f>
        <v>0</v>
      </c>
      <c r="V578" s="1">
        <f>'F-3 Off-Site WaterC Enhancement'!AT87</f>
        <v>0</v>
      </c>
    </row>
    <row r="579" spans="1:22" x14ac:dyDescent="0.3">
      <c r="A579" s="757">
        <f>'D-3 Off-Site Habitat Enhancment'!AU90</f>
        <v>0</v>
      </c>
      <c r="M579" s="757">
        <f>'E-3 Off-Site Hedge Enhancement'!AO91</f>
        <v>0</v>
      </c>
      <c r="V579" s="1">
        <f>'F-3 Off-Site WaterC Enhancement'!AT88</f>
        <v>0</v>
      </c>
    </row>
    <row r="580" spans="1:22" x14ac:dyDescent="0.3">
      <c r="A580" s="757">
        <f>'D-3 Off-Site Habitat Enhancment'!AU91</f>
        <v>0</v>
      </c>
      <c r="M580" s="757">
        <f>'E-3 Off-Site Hedge Enhancement'!AO92</f>
        <v>0</v>
      </c>
      <c r="V580" s="1">
        <f>'F-3 Off-Site WaterC Enhancement'!AT89</f>
        <v>0</v>
      </c>
    </row>
    <row r="581" spans="1:22" x14ac:dyDescent="0.3">
      <c r="A581" s="757">
        <f>'D-3 Off-Site Habitat Enhancment'!AU92</f>
        <v>0</v>
      </c>
      <c r="M581" s="757">
        <f>'E-3 Off-Site Hedge Enhancement'!AO93</f>
        <v>0</v>
      </c>
      <c r="V581" s="1">
        <f>'F-3 Off-Site WaterC Enhancement'!AT90</f>
        <v>0</v>
      </c>
    </row>
    <row r="582" spans="1:22" x14ac:dyDescent="0.3">
      <c r="A582" s="757">
        <f>'D-3 Off-Site Habitat Enhancment'!AU93</f>
        <v>0</v>
      </c>
      <c r="M582" s="757">
        <f>'E-3 Off-Site Hedge Enhancement'!AO94</f>
        <v>0</v>
      </c>
      <c r="V582" s="1">
        <f>'F-3 Off-Site WaterC Enhancement'!AT91</f>
        <v>0</v>
      </c>
    </row>
    <row r="583" spans="1:22" x14ac:dyDescent="0.3">
      <c r="A583" s="757">
        <f>'D-3 Off-Site Habitat Enhancment'!AU94</f>
        <v>0</v>
      </c>
      <c r="M583" s="757">
        <f>'E-3 Off-Site Hedge Enhancement'!AO95</f>
        <v>0</v>
      </c>
      <c r="V583" s="1">
        <f>'F-3 Off-Site WaterC Enhancement'!AT92</f>
        <v>0</v>
      </c>
    </row>
    <row r="584" spans="1:22" x14ac:dyDescent="0.3">
      <c r="A584" s="757">
        <f>'D-3 Off-Site Habitat Enhancment'!AU95</f>
        <v>0</v>
      </c>
      <c r="M584" s="757">
        <f>'E-3 Off-Site Hedge Enhancement'!AO96</f>
        <v>0</v>
      </c>
      <c r="V584" s="1">
        <f>'F-3 Off-Site WaterC Enhancement'!AT93</f>
        <v>0</v>
      </c>
    </row>
    <row r="585" spans="1:22" x14ac:dyDescent="0.3">
      <c r="A585" s="757">
        <f>'D-3 Off-Site Habitat Enhancment'!AU96</f>
        <v>0</v>
      </c>
      <c r="M585" s="757">
        <f>'E-3 Off-Site Hedge Enhancement'!AO97</f>
        <v>0</v>
      </c>
      <c r="V585" s="1">
        <f>'F-3 Off-Site WaterC Enhancement'!AT94</f>
        <v>0</v>
      </c>
    </row>
    <row r="586" spans="1:22" x14ac:dyDescent="0.3">
      <c r="A586" s="757">
        <f>'D-3 Off-Site Habitat Enhancment'!AU97</f>
        <v>0</v>
      </c>
      <c r="M586" s="757">
        <f>'E-3 Off-Site Hedge Enhancement'!AO98</f>
        <v>0</v>
      </c>
      <c r="V586" s="1">
        <f>'F-3 Off-Site WaterC Enhancement'!AT95</f>
        <v>0</v>
      </c>
    </row>
    <row r="587" spans="1:22" x14ac:dyDescent="0.3">
      <c r="A587" s="757">
        <f>'D-3 Off-Site Habitat Enhancment'!AU98</f>
        <v>0</v>
      </c>
      <c r="M587" s="757">
        <f>'E-3 Off-Site Hedge Enhancement'!AO99</f>
        <v>0</v>
      </c>
      <c r="V587" s="1">
        <f>'F-3 Off-Site WaterC Enhancement'!AT96</f>
        <v>0</v>
      </c>
    </row>
    <row r="588" spans="1:22" x14ac:dyDescent="0.3">
      <c r="A588" s="757">
        <f>'D-3 Off-Site Habitat Enhancment'!AU99</f>
        <v>0</v>
      </c>
      <c r="M588" s="757">
        <f>'E-3 Off-Site Hedge Enhancement'!AO100</f>
        <v>0</v>
      </c>
      <c r="V588" s="1">
        <f>'F-3 Off-Site WaterC Enhancement'!AT97</f>
        <v>0</v>
      </c>
    </row>
    <row r="589" spans="1:22" x14ac:dyDescent="0.3">
      <c r="A589" s="757">
        <f>'D-3 Off-Site Habitat Enhancment'!AU100</f>
        <v>0</v>
      </c>
      <c r="M589" s="757">
        <f>'E-3 Off-Site Hedge Enhancement'!AO101</f>
        <v>0</v>
      </c>
      <c r="V589" s="1">
        <f>'F-3 Off-Site WaterC Enhancement'!AT98</f>
        <v>0</v>
      </c>
    </row>
    <row r="590" spans="1:22" x14ac:dyDescent="0.3">
      <c r="A590" s="757">
        <f>'D-3 Off-Site Habitat Enhancment'!AU101</f>
        <v>0</v>
      </c>
      <c r="M590" s="757">
        <f>'E-3 Off-Site Hedge Enhancement'!AO102</f>
        <v>0</v>
      </c>
      <c r="V590" s="1">
        <f>'F-3 Off-Site WaterC Enhancement'!AT99</f>
        <v>0</v>
      </c>
    </row>
    <row r="591" spans="1:22" x14ac:dyDescent="0.3">
      <c r="A591" s="757">
        <f>'D-3 Off-Site Habitat Enhancment'!AU102</f>
        <v>0</v>
      </c>
      <c r="M591" s="757">
        <f>'E-3 Off-Site Hedge Enhancement'!AO103</f>
        <v>0</v>
      </c>
      <c r="V591" s="1">
        <f>'F-3 Off-Site WaterC Enhancement'!AT100</f>
        <v>0</v>
      </c>
    </row>
    <row r="592" spans="1:22" x14ac:dyDescent="0.3">
      <c r="A592" s="757">
        <f>'D-3 Off-Site Habitat Enhancment'!AU103</f>
        <v>0</v>
      </c>
      <c r="M592" s="757">
        <f>'E-3 Off-Site Hedge Enhancement'!AO104</f>
        <v>0</v>
      </c>
      <c r="V592" s="1">
        <f>'F-3 Off-Site WaterC Enhancement'!AT101</f>
        <v>0</v>
      </c>
    </row>
    <row r="593" spans="1:22" x14ac:dyDescent="0.3">
      <c r="A593" s="757">
        <f>'D-3 Off-Site Habitat Enhancment'!AU104</f>
        <v>0</v>
      </c>
      <c r="M593" s="757">
        <f>'E-3 Off-Site Hedge Enhancement'!AO105</f>
        <v>0</v>
      </c>
      <c r="V593" s="1">
        <f>'F-3 Off-Site WaterC Enhancement'!AT102</f>
        <v>0</v>
      </c>
    </row>
    <row r="594" spans="1:22" x14ac:dyDescent="0.3">
      <c r="A594" s="757">
        <f>'D-3 Off-Site Habitat Enhancment'!AU105</f>
        <v>0</v>
      </c>
      <c r="M594" s="757">
        <f>'E-3 Off-Site Hedge Enhancement'!AO106</f>
        <v>0</v>
      </c>
      <c r="V594" s="1">
        <f>'F-3 Off-Site WaterC Enhancement'!AT103</f>
        <v>0</v>
      </c>
    </row>
    <row r="595" spans="1:22" x14ac:dyDescent="0.3">
      <c r="A595" s="757">
        <f>'D-3 Off-Site Habitat Enhancment'!AU106</f>
        <v>0</v>
      </c>
      <c r="M595" s="757">
        <f>'E-3 Off-Site Hedge Enhancement'!AO107</f>
        <v>0</v>
      </c>
      <c r="V595" s="1">
        <f>'F-3 Off-Site WaterC Enhancement'!AT104</f>
        <v>0</v>
      </c>
    </row>
    <row r="596" spans="1:22" x14ac:dyDescent="0.3">
      <c r="A596" s="757">
        <f>'D-3 Off-Site Habitat Enhancment'!AU107</f>
        <v>0</v>
      </c>
      <c r="M596" s="757">
        <f>'E-3 Off-Site Hedge Enhancement'!AO108</f>
        <v>0</v>
      </c>
      <c r="V596" s="1">
        <f>'F-3 Off-Site WaterC Enhancement'!AT105</f>
        <v>0</v>
      </c>
    </row>
    <row r="597" spans="1:22" x14ac:dyDescent="0.3">
      <c r="A597" s="757">
        <f>'D-3 Off-Site Habitat Enhancment'!AU108</f>
        <v>0</v>
      </c>
      <c r="M597" s="757">
        <f>'E-3 Off-Site Hedge Enhancement'!AO109</f>
        <v>0</v>
      </c>
      <c r="V597" s="1">
        <f>'F-3 Off-Site WaterC Enhancement'!AT106</f>
        <v>0</v>
      </c>
    </row>
    <row r="598" spans="1:22" x14ac:dyDescent="0.3">
      <c r="A598" s="757">
        <f>'D-3 Off-Site Habitat Enhancment'!AU109</f>
        <v>0</v>
      </c>
      <c r="M598" s="757">
        <f>'E-3 Off-Site Hedge Enhancement'!AO110</f>
        <v>0</v>
      </c>
      <c r="V598" s="1">
        <f>'F-3 Off-Site WaterC Enhancement'!AT107</f>
        <v>0</v>
      </c>
    </row>
    <row r="599" spans="1:22" x14ac:dyDescent="0.3">
      <c r="A599" s="757">
        <f>'D-3 Off-Site Habitat Enhancment'!AU110</f>
        <v>0</v>
      </c>
      <c r="M599" s="757">
        <f>'E-3 Off-Site Hedge Enhancement'!AO111</f>
        <v>0</v>
      </c>
      <c r="V599" s="1">
        <f>'F-3 Off-Site WaterC Enhancement'!AT108</f>
        <v>0</v>
      </c>
    </row>
    <row r="600" spans="1:22" x14ac:dyDescent="0.3">
      <c r="A600" s="757">
        <f>'D-3 Off-Site Habitat Enhancment'!AU111</f>
        <v>0</v>
      </c>
      <c r="M600" s="757">
        <f>'E-3 Off-Site Hedge Enhancement'!AO112</f>
        <v>0</v>
      </c>
      <c r="V600" s="1">
        <f>'F-3 Off-Site WaterC Enhancement'!AT109</f>
        <v>0</v>
      </c>
    </row>
    <row r="601" spans="1:22" x14ac:dyDescent="0.3">
      <c r="A601" s="757">
        <f>'D-3 Off-Site Habitat Enhancment'!AU112</f>
        <v>0</v>
      </c>
      <c r="M601" s="757">
        <f>'E-3 Off-Site Hedge Enhancement'!AO113</f>
        <v>0</v>
      </c>
      <c r="V601" s="1">
        <f>'F-3 Off-Site WaterC Enhancement'!AT110</f>
        <v>0</v>
      </c>
    </row>
    <row r="602" spans="1:22" x14ac:dyDescent="0.3">
      <c r="A602" s="757">
        <f>'D-3 Off-Site Habitat Enhancment'!AU113</f>
        <v>0</v>
      </c>
      <c r="M602" s="757">
        <f>'E-3 Off-Site Hedge Enhancement'!AO114</f>
        <v>0</v>
      </c>
      <c r="V602" s="1">
        <f>'F-3 Off-Site WaterC Enhancement'!AT111</f>
        <v>0</v>
      </c>
    </row>
    <row r="603" spans="1:22" x14ac:dyDescent="0.3">
      <c r="A603" s="757">
        <f>'D-3 Off-Site Habitat Enhancment'!AU114</f>
        <v>0</v>
      </c>
      <c r="M603" s="757">
        <f>'E-3 Off-Site Hedge Enhancement'!AO115</f>
        <v>0</v>
      </c>
      <c r="V603" s="1">
        <f>'F-3 Off-Site WaterC Enhancement'!AT112</f>
        <v>0</v>
      </c>
    </row>
    <row r="604" spans="1:22" x14ac:dyDescent="0.3">
      <c r="A604" s="757">
        <f>'D-3 Off-Site Habitat Enhancment'!AU115</f>
        <v>0</v>
      </c>
      <c r="M604" s="757">
        <f>'E-3 Off-Site Hedge Enhancement'!AO116</f>
        <v>0</v>
      </c>
      <c r="V604" s="1">
        <f>'F-3 Off-Site WaterC Enhancement'!AT113</f>
        <v>0</v>
      </c>
    </row>
    <row r="605" spans="1:22" x14ac:dyDescent="0.3">
      <c r="A605" s="757">
        <f>'D-3 Off-Site Habitat Enhancment'!AU116</f>
        <v>0</v>
      </c>
      <c r="M605" s="757">
        <f>'E-3 Off-Site Hedge Enhancement'!AO117</f>
        <v>0</v>
      </c>
      <c r="V605" s="1">
        <f>'F-3 Off-Site WaterC Enhancement'!AT114</f>
        <v>0</v>
      </c>
    </row>
    <row r="606" spans="1:22" x14ac:dyDescent="0.3">
      <c r="A606" s="757">
        <f>'D-3 Off-Site Habitat Enhancment'!AU117</f>
        <v>0</v>
      </c>
      <c r="M606" s="757">
        <f>'E-3 Off-Site Hedge Enhancement'!AO118</f>
        <v>0</v>
      </c>
      <c r="V606" s="1">
        <f>'F-3 Off-Site WaterC Enhancement'!AT115</f>
        <v>0</v>
      </c>
    </row>
    <row r="607" spans="1:22" x14ac:dyDescent="0.3">
      <c r="A607" s="757">
        <f>'D-3 Off-Site Habitat Enhancment'!AU118</f>
        <v>0</v>
      </c>
      <c r="M607" s="757">
        <f>'E-3 Off-Site Hedge Enhancement'!AO119</f>
        <v>0</v>
      </c>
      <c r="V607" s="1">
        <f>'F-3 Off-Site WaterC Enhancement'!AT116</f>
        <v>0</v>
      </c>
    </row>
    <row r="608" spans="1:22" x14ac:dyDescent="0.3">
      <c r="A608" s="757">
        <f>'D-3 Off-Site Habitat Enhancment'!AU119</f>
        <v>0</v>
      </c>
      <c r="M608" s="757">
        <f>'E-3 Off-Site Hedge Enhancement'!AO120</f>
        <v>0</v>
      </c>
      <c r="V608" s="1">
        <f>'F-3 Off-Site WaterC Enhancement'!AT117</f>
        <v>0</v>
      </c>
    </row>
    <row r="609" spans="1:22" x14ac:dyDescent="0.3">
      <c r="A609" s="757">
        <f>'D-3 Off-Site Habitat Enhancment'!AU120</f>
        <v>0</v>
      </c>
      <c r="M609" s="757">
        <f>'E-3 Off-Site Hedge Enhancement'!AO121</f>
        <v>0</v>
      </c>
      <c r="V609" s="1">
        <f>'F-3 Off-Site WaterC Enhancement'!AT118</f>
        <v>0</v>
      </c>
    </row>
    <row r="610" spans="1:22" x14ac:dyDescent="0.3">
      <c r="A610" s="757">
        <f>'D-3 Off-Site Habitat Enhancment'!AU121</f>
        <v>0</v>
      </c>
      <c r="M610" s="757">
        <f>'E-3 Off-Site Hedge Enhancement'!AO122</f>
        <v>0</v>
      </c>
      <c r="V610" s="1">
        <f>'F-3 Off-Site WaterC Enhancement'!AT119</f>
        <v>0</v>
      </c>
    </row>
    <row r="611" spans="1:22" x14ac:dyDescent="0.3">
      <c r="A611" s="757">
        <f>'D-3 Off-Site Habitat Enhancment'!AU122</f>
        <v>0</v>
      </c>
      <c r="M611" s="757">
        <f>'E-3 Off-Site Hedge Enhancement'!AO123</f>
        <v>0</v>
      </c>
      <c r="V611" s="1">
        <f>'F-3 Off-Site WaterC Enhancement'!AT120</f>
        <v>0</v>
      </c>
    </row>
    <row r="612" spans="1:22" x14ac:dyDescent="0.3">
      <c r="A612" s="757">
        <f>'D-3 Off-Site Habitat Enhancment'!AU123</f>
        <v>0</v>
      </c>
      <c r="M612" s="757">
        <f>'E-3 Off-Site Hedge Enhancement'!AO124</f>
        <v>0</v>
      </c>
      <c r="V612" s="1">
        <f>'F-3 Off-Site WaterC Enhancement'!AT121</f>
        <v>0</v>
      </c>
    </row>
    <row r="613" spans="1:22" x14ac:dyDescent="0.3">
      <c r="A613" s="757">
        <f>'D-3 Off-Site Habitat Enhancment'!AU124</f>
        <v>0</v>
      </c>
      <c r="M613" s="757">
        <f>'E-3 Off-Site Hedge Enhancement'!AO125</f>
        <v>0</v>
      </c>
      <c r="V613" s="1">
        <f>'F-3 Off-Site WaterC Enhancement'!AT122</f>
        <v>0</v>
      </c>
    </row>
    <row r="614" spans="1:22" x14ac:dyDescent="0.3">
      <c r="A614" s="757">
        <f>'D-3 Off-Site Habitat Enhancment'!AU125</f>
        <v>0</v>
      </c>
      <c r="M614" s="757">
        <f>'E-3 Off-Site Hedge Enhancement'!AO126</f>
        <v>0</v>
      </c>
      <c r="V614" s="1">
        <f>'F-3 Off-Site WaterC Enhancement'!AT123</f>
        <v>0</v>
      </c>
    </row>
    <row r="615" spans="1:22" x14ac:dyDescent="0.3">
      <c r="A615" s="757">
        <f>'D-3 Off-Site Habitat Enhancment'!AU126</f>
        <v>0</v>
      </c>
      <c r="M615" s="757">
        <f>'E-3 Off-Site Hedge Enhancement'!AO127</f>
        <v>0</v>
      </c>
      <c r="V615" s="1">
        <f>'F-3 Off-Site WaterC Enhancement'!AT124</f>
        <v>0</v>
      </c>
    </row>
    <row r="616" spans="1:22" x14ac:dyDescent="0.3">
      <c r="A616" s="757">
        <f>'D-3 Off-Site Habitat Enhancment'!AU127</f>
        <v>0</v>
      </c>
      <c r="M616" s="757">
        <f>'E-3 Off-Site Hedge Enhancement'!AO128</f>
        <v>0</v>
      </c>
      <c r="V616" s="1">
        <f>'F-3 Off-Site WaterC Enhancement'!AT125</f>
        <v>0</v>
      </c>
    </row>
    <row r="617" spans="1:22" x14ac:dyDescent="0.3">
      <c r="A617" s="757">
        <f>'D-3 Off-Site Habitat Enhancment'!AU128</f>
        <v>0</v>
      </c>
      <c r="M617" s="757">
        <f>'E-3 Off-Site Hedge Enhancement'!AO129</f>
        <v>0</v>
      </c>
      <c r="V617" s="1">
        <f>'F-3 Off-Site WaterC Enhancement'!AT126</f>
        <v>0</v>
      </c>
    </row>
    <row r="618" spans="1:22" x14ac:dyDescent="0.3">
      <c r="A618" s="757">
        <f>'D-3 Off-Site Habitat Enhancment'!AU129</f>
        <v>0</v>
      </c>
      <c r="M618" s="757">
        <f>'E-3 Off-Site Hedge Enhancement'!AO130</f>
        <v>0</v>
      </c>
      <c r="V618" s="1">
        <f>'F-3 Off-Site WaterC Enhancement'!AT127</f>
        <v>0</v>
      </c>
    </row>
    <row r="619" spans="1:22" x14ac:dyDescent="0.3">
      <c r="A619" s="757">
        <f>'D-3 Off-Site Habitat Enhancment'!AU130</f>
        <v>0</v>
      </c>
      <c r="M619" s="757">
        <f>'E-3 Off-Site Hedge Enhancement'!AO131</f>
        <v>0</v>
      </c>
      <c r="V619" s="1">
        <f>'F-3 Off-Site WaterC Enhancement'!AT128</f>
        <v>0</v>
      </c>
    </row>
    <row r="620" spans="1:22" x14ac:dyDescent="0.3">
      <c r="A620" s="757">
        <f>'D-3 Off-Site Habitat Enhancment'!AU131</f>
        <v>0</v>
      </c>
      <c r="M620" s="757">
        <f>'E-3 Off-Site Hedge Enhancement'!AO132</f>
        <v>0</v>
      </c>
      <c r="V620" s="1">
        <f>'F-3 Off-Site WaterC Enhancement'!AT129</f>
        <v>0</v>
      </c>
    </row>
    <row r="621" spans="1:22" x14ac:dyDescent="0.3">
      <c r="A621" s="757">
        <f>'D-3 Off-Site Habitat Enhancment'!AU132</f>
        <v>0</v>
      </c>
      <c r="M621" s="757">
        <f>'E-3 Off-Site Hedge Enhancement'!AO133</f>
        <v>0</v>
      </c>
      <c r="V621" s="1">
        <f>'F-3 Off-Site WaterC Enhancement'!AT130</f>
        <v>0</v>
      </c>
    </row>
    <row r="622" spans="1:22" x14ac:dyDescent="0.3">
      <c r="A622" s="757">
        <f>'D-3 Off-Site Habitat Enhancment'!AU133</f>
        <v>0</v>
      </c>
      <c r="M622" s="757">
        <f>'E-3 Off-Site Hedge Enhancement'!AO134</f>
        <v>0</v>
      </c>
      <c r="V622" s="1">
        <f>'F-3 Off-Site WaterC Enhancement'!AT131</f>
        <v>0</v>
      </c>
    </row>
    <row r="623" spans="1:22" x14ac:dyDescent="0.3">
      <c r="A623" s="757">
        <f>'D-3 Off-Site Habitat Enhancment'!AU134</f>
        <v>0</v>
      </c>
      <c r="M623" s="757">
        <f>'E-3 Off-Site Hedge Enhancement'!AO135</f>
        <v>0</v>
      </c>
      <c r="V623" s="1">
        <f>'F-3 Off-Site WaterC Enhancement'!AT132</f>
        <v>0</v>
      </c>
    </row>
    <row r="624" spans="1:22" x14ac:dyDescent="0.3">
      <c r="A624" s="757">
        <f>'D-3 Off-Site Habitat Enhancment'!AU135</f>
        <v>0</v>
      </c>
      <c r="M624" s="757">
        <f>'E-3 Off-Site Hedge Enhancement'!AO136</f>
        <v>0</v>
      </c>
      <c r="V624" s="1">
        <f>'F-3 Off-Site WaterC Enhancement'!AT133</f>
        <v>0</v>
      </c>
    </row>
    <row r="625" spans="1:22" x14ac:dyDescent="0.3">
      <c r="A625" s="757">
        <f>'D-3 Off-Site Habitat Enhancment'!AU136</f>
        <v>0</v>
      </c>
      <c r="M625" s="757">
        <f>'E-3 Off-Site Hedge Enhancement'!AO137</f>
        <v>0</v>
      </c>
      <c r="V625" s="1">
        <f>'F-3 Off-Site WaterC Enhancement'!AT134</f>
        <v>0</v>
      </c>
    </row>
    <row r="626" spans="1:22" x14ac:dyDescent="0.3">
      <c r="A626" s="757">
        <f>'D-3 Off-Site Habitat Enhancment'!AU137</f>
        <v>0</v>
      </c>
      <c r="M626" s="757">
        <f>'E-3 Off-Site Hedge Enhancement'!AO138</f>
        <v>0</v>
      </c>
      <c r="V626" s="1">
        <f>'F-3 Off-Site WaterC Enhancement'!AT135</f>
        <v>0</v>
      </c>
    </row>
    <row r="627" spans="1:22" x14ac:dyDescent="0.3">
      <c r="A627" s="757">
        <f>'D-3 Off-Site Habitat Enhancment'!AU138</f>
        <v>0</v>
      </c>
      <c r="M627" s="757">
        <f>'E-3 Off-Site Hedge Enhancement'!AO139</f>
        <v>0</v>
      </c>
      <c r="V627" s="1">
        <f>'F-3 Off-Site WaterC Enhancement'!AT136</f>
        <v>0</v>
      </c>
    </row>
    <row r="628" spans="1:22" x14ac:dyDescent="0.3">
      <c r="A628" s="757">
        <f>'D-3 Off-Site Habitat Enhancment'!AU139</f>
        <v>0</v>
      </c>
      <c r="M628" s="757">
        <f>'E-3 Off-Site Hedge Enhancement'!AO140</f>
        <v>0</v>
      </c>
      <c r="V628" s="1">
        <f>'F-3 Off-Site WaterC Enhancement'!AT137</f>
        <v>0</v>
      </c>
    </row>
    <row r="629" spans="1:22" x14ac:dyDescent="0.3">
      <c r="A629" s="757">
        <f>'D-3 Off-Site Habitat Enhancment'!AU140</f>
        <v>0</v>
      </c>
      <c r="M629" s="757">
        <f>'E-3 Off-Site Hedge Enhancement'!AO141</f>
        <v>0</v>
      </c>
      <c r="V629" s="1">
        <f>'F-3 Off-Site WaterC Enhancement'!AT138</f>
        <v>0</v>
      </c>
    </row>
    <row r="630" spans="1:22" x14ac:dyDescent="0.3">
      <c r="A630" s="757">
        <f>'D-3 Off-Site Habitat Enhancment'!AU141</f>
        <v>0</v>
      </c>
      <c r="M630" s="757">
        <f>'E-3 Off-Site Hedge Enhancement'!AO142</f>
        <v>0</v>
      </c>
      <c r="V630" s="1">
        <f>'F-3 Off-Site WaterC Enhancement'!AT139</f>
        <v>0</v>
      </c>
    </row>
    <row r="631" spans="1:22" x14ac:dyDescent="0.3">
      <c r="A631" s="757">
        <f>'D-3 Off-Site Habitat Enhancment'!AU142</f>
        <v>0</v>
      </c>
      <c r="M631" s="757">
        <f>'E-3 Off-Site Hedge Enhancement'!AO143</f>
        <v>0</v>
      </c>
      <c r="V631" s="1">
        <f>'F-3 Off-Site WaterC Enhancement'!AT140</f>
        <v>0</v>
      </c>
    </row>
    <row r="632" spans="1:22" x14ac:dyDescent="0.3">
      <c r="A632" s="757">
        <f>'D-3 Off-Site Habitat Enhancment'!AU143</f>
        <v>0</v>
      </c>
      <c r="M632" s="757">
        <f>'E-3 Off-Site Hedge Enhancement'!AO144</f>
        <v>0</v>
      </c>
      <c r="V632" s="1">
        <f>'F-3 Off-Site WaterC Enhancement'!AT141</f>
        <v>0</v>
      </c>
    </row>
    <row r="633" spans="1:22" x14ac:dyDescent="0.3">
      <c r="A633" s="757">
        <f>'D-3 Off-Site Habitat Enhancment'!AU144</f>
        <v>0</v>
      </c>
      <c r="M633" s="757">
        <f>'E-3 Off-Site Hedge Enhancement'!AO145</f>
        <v>0</v>
      </c>
      <c r="V633" s="1">
        <f>'F-3 Off-Site WaterC Enhancement'!AT142</f>
        <v>0</v>
      </c>
    </row>
    <row r="634" spans="1:22" x14ac:dyDescent="0.3">
      <c r="A634" s="757">
        <f>'D-3 Off-Site Habitat Enhancment'!AU145</f>
        <v>0</v>
      </c>
      <c r="M634" s="757">
        <f>'E-3 Off-Site Hedge Enhancement'!AO146</f>
        <v>0</v>
      </c>
      <c r="V634" s="1">
        <f>'F-3 Off-Site WaterC Enhancement'!AT143</f>
        <v>0</v>
      </c>
    </row>
    <row r="635" spans="1:22" x14ac:dyDescent="0.3">
      <c r="A635" s="757">
        <f>'D-3 Off-Site Habitat Enhancment'!AU146</f>
        <v>0</v>
      </c>
      <c r="M635" s="757">
        <f>'E-3 Off-Site Hedge Enhancement'!AO147</f>
        <v>0</v>
      </c>
      <c r="V635" s="1">
        <f>'F-3 Off-Site WaterC Enhancement'!AT144</f>
        <v>0</v>
      </c>
    </row>
    <row r="636" spans="1:22" x14ac:dyDescent="0.3">
      <c r="A636" s="757">
        <f>'D-3 Off-Site Habitat Enhancment'!AU147</f>
        <v>0</v>
      </c>
      <c r="M636" s="757">
        <f>'E-3 Off-Site Hedge Enhancement'!AO148</f>
        <v>0</v>
      </c>
      <c r="V636" s="1">
        <f>'F-3 Off-Site WaterC Enhancement'!AT145</f>
        <v>0</v>
      </c>
    </row>
    <row r="637" spans="1:22" x14ac:dyDescent="0.3">
      <c r="A637" s="757">
        <f>'D-3 Off-Site Habitat Enhancment'!AU148</f>
        <v>0</v>
      </c>
      <c r="M637" s="757">
        <f>'E-3 Off-Site Hedge Enhancement'!AO149</f>
        <v>0</v>
      </c>
      <c r="V637" s="1">
        <f>'F-3 Off-Site WaterC Enhancement'!AT146</f>
        <v>0</v>
      </c>
    </row>
    <row r="638" spans="1:22" x14ac:dyDescent="0.3">
      <c r="A638" s="757">
        <f>'D-3 Off-Site Habitat Enhancment'!AU149</f>
        <v>0</v>
      </c>
      <c r="M638" s="757">
        <f>'E-3 Off-Site Hedge Enhancement'!AO150</f>
        <v>0</v>
      </c>
      <c r="V638" s="1">
        <f>'F-3 Off-Site WaterC Enhancement'!AT147</f>
        <v>0</v>
      </c>
    </row>
    <row r="639" spans="1:22" x14ac:dyDescent="0.3">
      <c r="A639" s="757">
        <f>'D-3 Off-Site Habitat Enhancment'!AU150</f>
        <v>0</v>
      </c>
      <c r="M639" s="757">
        <f>'E-3 Off-Site Hedge Enhancement'!AO151</f>
        <v>0</v>
      </c>
      <c r="V639" s="1">
        <f>'F-3 Off-Site WaterC Enhancement'!AT148</f>
        <v>0</v>
      </c>
    </row>
    <row r="640" spans="1:22" x14ac:dyDescent="0.3">
      <c r="A640" s="757">
        <f>'D-3 Off-Site Habitat Enhancment'!AU151</f>
        <v>0</v>
      </c>
      <c r="M640" s="757">
        <f>'E-3 Off-Site Hedge Enhancement'!AO152</f>
        <v>0</v>
      </c>
      <c r="V640" s="1">
        <f>'F-3 Off-Site WaterC Enhancement'!AT149</f>
        <v>0</v>
      </c>
    </row>
    <row r="641" spans="1:22" x14ac:dyDescent="0.3">
      <c r="A641" s="757">
        <f>'D-3 Off-Site Habitat Enhancment'!AU152</f>
        <v>0</v>
      </c>
      <c r="M641" s="757">
        <f>'E-3 Off-Site Hedge Enhancement'!AO153</f>
        <v>0</v>
      </c>
      <c r="V641" s="1">
        <f>'F-3 Off-Site WaterC Enhancement'!AT150</f>
        <v>0</v>
      </c>
    </row>
    <row r="642" spans="1:22" x14ac:dyDescent="0.3">
      <c r="A642" s="757">
        <f>'D-3 Off-Site Habitat Enhancment'!AU153</f>
        <v>0</v>
      </c>
      <c r="M642" s="757">
        <f>'E-3 Off-Site Hedge Enhancement'!AO154</f>
        <v>0</v>
      </c>
      <c r="V642" s="1">
        <f>'F-3 Off-Site WaterC Enhancement'!AT151</f>
        <v>0</v>
      </c>
    </row>
    <row r="643" spans="1:22" x14ac:dyDescent="0.3">
      <c r="A643" s="757">
        <f>'D-3 Off-Site Habitat Enhancment'!AU154</f>
        <v>0</v>
      </c>
      <c r="M643" s="757">
        <f>'E-3 Off-Site Hedge Enhancement'!AO155</f>
        <v>0</v>
      </c>
      <c r="V643" s="1">
        <f>'F-3 Off-Site WaterC Enhancement'!AT152</f>
        <v>0</v>
      </c>
    </row>
    <row r="644" spans="1:22" x14ac:dyDescent="0.3">
      <c r="A644" s="757">
        <f>'D-3 Off-Site Habitat Enhancment'!AU155</f>
        <v>0</v>
      </c>
      <c r="M644" s="757">
        <f>'E-3 Off-Site Hedge Enhancement'!AO156</f>
        <v>0</v>
      </c>
      <c r="V644" s="1">
        <f>'F-3 Off-Site WaterC Enhancement'!AT153</f>
        <v>0</v>
      </c>
    </row>
    <row r="645" spans="1:22" x14ac:dyDescent="0.3">
      <c r="A645" s="757">
        <f>'D-3 Off-Site Habitat Enhancment'!AU156</f>
        <v>0</v>
      </c>
      <c r="M645" s="757">
        <f>'E-3 Off-Site Hedge Enhancement'!AO157</f>
        <v>0</v>
      </c>
      <c r="V645" s="1">
        <f>'F-3 Off-Site WaterC Enhancement'!AT154</f>
        <v>0</v>
      </c>
    </row>
    <row r="646" spans="1:22" x14ac:dyDescent="0.3">
      <c r="A646" s="757">
        <f>'D-3 Off-Site Habitat Enhancment'!AU157</f>
        <v>0</v>
      </c>
      <c r="M646" s="757">
        <f>'E-3 Off-Site Hedge Enhancement'!AO158</f>
        <v>0</v>
      </c>
      <c r="V646" s="1">
        <f>'F-3 Off-Site WaterC Enhancement'!AT155</f>
        <v>0</v>
      </c>
    </row>
    <row r="647" spans="1:22" x14ac:dyDescent="0.3">
      <c r="A647" s="757">
        <f>'D-3 Off-Site Habitat Enhancment'!AU158</f>
        <v>0</v>
      </c>
      <c r="M647" s="757">
        <f>'E-3 Off-Site Hedge Enhancement'!AO159</f>
        <v>0</v>
      </c>
      <c r="V647" s="1">
        <f>'F-3 Off-Site WaterC Enhancement'!AT156</f>
        <v>0</v>
      </c>
    </row>
    <row r="648" spans="1:22" x14ac:dyDescent="0.3">
      <c r="A648" s="757">
        <f>'D-3 Off-Site Habitat Enhancment'!AU159</f>
        <v>0</v>
      </c>
      <c r="M648" s="757">
        <f>'E-3 Off-Site Hedge Enhancement'!AO160</f>
        <v>0</v>
      </c>
      <c r="V648" s="1">
        <f>'F-3 Off-Site WaterC Enhancement'!AT157</f>
        <v>0</v>
      </c>
    </row>
    <row r="649" spans="1:22" x14ac:dyDescent="0.3">
      <c r="A649" s="757">
        <f>'D-3 Off-Site Habitat Enhancment'!AU160</f>
        <v>0</v>
      </c>
      <c r="M649" s="757">
        <f>'E-3 Off-Site Hedge Enhancement'!AO161</f>
        <v>0</v>
      </c>
      <c r="V649" s="1">
        <f>'F-3 Off-Site WaterC Enhancement'!AT158</f>
        <v>0</v>
      </c>
    </row>
    <row r="650" spans="1:22" x14ac:dyDescent="0.3">
      <c r="A650" s="757">
        <f>'D-3 Off-Site Habitat Enhancment'!AU161</f>
        <v>0</v>
      </c>
      <c r="M650" s="757">
        <f>'E-3 Off-Site Hedge Enhancement'!AO162</f>
        <v>0</v>
      </c>
      <c r="V650" s="1">
        <f>'F-3 Off-Site WaterC Enhancement'!AT159</f>
        <v>0</v>
      </c>
    </row>
    <row r="651" spans="1:22" x14ac:dyDescent="0.3">
      <c r="A651" s="757">
        <f>'D-3 Off-Site Habitat Enhancment'!AU162</f>
        <v>0</v>
      </c>
      <c r="M651" s="757">
        <f>'E-3 Off-Site Hedge Enhancement'!AO163</f>
        <v>0</v>
      </c>
      <c r="V651" s="1">
        <f>'F-3 Off-Site WaterC Enhancement'!AT160</f>
        <v>0</v>
      </c>
    </row>
    <row r="652" spans="1:22" x14ac:dyDescent="0.3">
      <c r="A652" s="757">
        <f>'D-3 Off-Site Habitat Enhancment'!AU163</f>
        <v>0</v>
      </c>
      <c r="M652" s="757">
        <f>'E-3 Off-Site Hedge Enhancement'!AO164</f>
        <v>0</v>
      </c>
      <c r="V652" s="1">
        <f>'F-3 Off-Site WaterC Enhancement'!AT161</f>
        <v>0</v>
      </c>
    </row>
    <row r="653" spans="1:22" x14ac:dyDescent="0.3">
      <c r="A653" s="757">
        <f>'D-3 Off-Site Habitat Enhancment'!AU164</f>
        <v>0</v>
      </c>
      <c r="M653" s="757">
        <f>'E-3 Off-Site Hedge Enhancement'!AO165</f>
        <v>0</v>
      </c>
      <c r="V653" s="1">
        <f>'F-3 Off-Site WaterC Enhancement'!AT162</f>
        <v>0</v>
      </c>
    </row>
    <row r="654" spans="1:22" x14ac:dyDescent="0.3">
      <c r="A654" s="757">
        <f>'D-3 Off-Site Habitat Enhancment'!AU165</f>
        <v>0</v>
      </c>
      <c r="M654" s="757">
        <f>'E-3 Off-Site Hedge Enhancement'!AO166</f>
        <v>0</v>
      </c>
      <c r="V654" s="1">
        <f>'F-3 Off-Site WaterC Enhancement'!AT163</f>
        <v>0</v>
      </c>
    </row>
    <row r="655" spans="1:22" x14ac:dyDescent="0.3">
      <c r="A655" s="757">
        <f>'D-3 Off-Site Habitat Enhancment'!AU166</f>
        <v>0</v>
      </c>
      <c r="M655" s="757">
        <f>'E-3 Off-Site Hedge Enhancement'!AO167</f>
        <v>0</v>
      </c>
      <c r="V655" s="1">
        <f>'F-3 Off-Site WaterC Enhancement'!AT164</f>
        <v>0</v>
      </c>
    </row>
    <row r="656" spans="1:22" x14ac:dyDescent="0.3">
      <c r="A656" s="757">
        <f>'D-3 Off-Site Habitat Enhancment'!AU167</f>
        <v>0</v>
      </c>
      <c r="M656" s="757">
        <f>'E-3 Off-Site Hedge Enhancement'!AO168</f>
        <v>0</v>
      </c>
      <c r="V656" s="1">
        <f>'F-3 Off-Site WaterC Enhancement'!AT165</f>
        <v>0</v>
      </c>
    </row>
    <row r="657" spans="1:22" x14ac:dyDescent="0.3">
      <c r="A657" s="757">
        <f>'D-3 Off-Site Habitat Enhancment'!AU168</f>
        <v>0</v>
      </c>
      <c r="M657" s="757">
        <f>'E-3 Off-Site Hedge Enhancement'!AO169</f>
        <v>0</v>
      </c>
      <c r="V657" s="1">
        <f>'F-3 Off-Site WaterC Enhancement'!AT166</f>
        <v>0</v>
      </c>
    </row>
    <row r="658" spans="1:22" x14ac:dyDescent="0.3">
      <c r="A658" s="757">
        <f>'D-3 Off-Site Habitat Enhancment'!AU169</f>
        <v>0</v>
      </c>
      <c r="M658" s="757">
        <f>'E-3 Off-Site Hedge Enhancement'!AO170</f>
        <v>0</v>
      </c>
      <c r="V658" s="1">
        <f>'F-3 Off-Site WaterC Enhancement'!AT167</f>
        <v>0</v>
      </c>
    </row>
    <row r="659" spans="1:22" x14ac:dyDescent="0.3">
      <c r="A659" s="757">
        <f>'D-3 Off-Site Habitat Enhancment'!AU170</f>
        <v>0</v>
      </c>
      <c r="M659" s="757">
        <f>'E-3 Off-Site Hedge Enhancement'!AO171</f>
        <v>0</v>
      </c>
      <c r="V659" s="1">
        <f>'F-3 Off-Site WaterC Enhancement'!AT168</f>
        <v>0</v>
      </c>
    </row>
    <row r="660" spans="1:22" x14ac:dyDescent="0.3">
      <c r="A660" s="757">
        <f>'D-3 Off-Site Habitat Enhancment'!AU171</f>
        <v>0</v>
      </c>
      <c r="M660" s="757">
        <f>'E-3 Off-Site Hedge Enhancement'!AO172</f>
        <v>0</v>
      </c>
      <c r="V660" s="1">
        <f>'F-3 Off-Site WaterC Enhancement'!AT169</f>
        <v>0</v>
      </c>
    </row>
    <row r="661" spans="1:22" x14ac:dyDescent="0.3">
      <c r="A661" s="757">
        <f>'D-3 Off-Site Habitat Enhancment'!AU172</f>
        <v>0</v>
      </c>
      <c r="M661" s="757">
        <f>'E-3 Off-Site Hedge Enhancement'!AO173</f>
        <v>0</v>
      </c>
      <c r="V661" s="1">
        <f>'F-3 Off-Site WaterC Enhancement'!AT170</f>
        <v>0</v>
      </c>
    </row>
    <row r="662" spans="1:22" x14ac:dyDescent="0.3">
      <c r="A662" s="757">
        <f>'D-3 Off-Site Habitat Enhancment'!AU173</f>
        <v>0</v>
      </c>
      <c r="M662" s="757">
        <f>'E-3 Off-Site Hedge Enhancement'!AO174</f>
        <v>0</v>
      </c>
      <c r="V662" s="1">
        <f>'F-3 Off-Site WaterC Enhancement'!AT171</f>
        <v>0</v>
      </c>
    </row>
    <row r="663" spans="1:22" x14ac:dyDescent="0.3">
      <c r="A663" s="757">
        <f>'D-3 Off-Site Habitat Enhancment'!AU174</f>
        <v>0</v>
      </c>
      <c r="M663" s="757">
        <f>'E-3 Off-Site Hedge Enhancement'!AO175</f>
        <v>0</v>
      </c>
      <c r="V663" s="1">
        <f>'F-3 Off-Site WaterC Enhancement'!AT172</f>
        <v>0</v>
      </c>
    </row>
    <row r="664" spans="1:22" x14ac:dyDescent="0.3">
      <c r="A664" s="757">
        <f>'D-3 Off-Site Habitat Enhancment'!AU175</f>
        <v>0</v>
      </c>
      <c r="M664" s="757">
        <f>'E-3 Off-Site Hedge Enhancement'!AO176</f>
        <v>0</v>
      </c>
      <c r="V664" s="1">
        <f>'F-3 Off-Site WaterC Enhancement'!AT173</f>
        <v>0</v>
      </c>
    </row>
    <row r="665" spans="1:22" x14ac:dyDescent="0.3">
      <c r="A665" s="757">
        <f>'D-3 Off-Site Habitat Enhancment'!AU176</f>
        <v>0</v>
      </c>
      <c r="M665" s="757">
        <f>'E-3 Off-Site Hedge Enhancement'!AO177</f>
        <v>0</v>
      </c>
      <c r="V665" s="1">
        <f>'F-3 Off-Site WaterC Enhancement'!AT174</f>
        <v>0</v>
      </c>
    </row>
    <row r="666" spans="1:22" x14ac:dyDescent="0.3">
      <c r="A666" s="757">
        <f>'D-3 Off-Site Habitat Enhancment'!AU177</f>
        <v>0</v>
      </c>
      <c r="M666" s="757">
        <f>'E-3 Off-Site Hedge Enhancement'!AO178</f>
        <v>0</v>
      </c>
      <c r="V666" s="1">
        <f>'F-3 Off-Site WaterC Enhancement'!AT175</f>
        <v>0</v>
      </c>
    </row>
    <row r="667" spans="1:22" x14ac:dyDescent="0.3">
      <c r="A667" s="757">
        <f>'D-3 Off-Site Habitat Enhancment'!AU178</f>
        <v>0</v>
      </c>
      <c r="M667" s="757">
        <f>'E-3 Off-Site Hedge Enhancement'!AO179</f>
        <v>0</v>
      </c>
      <c r="V667" s="1">
        <f>'F-3 Off-Site WaterC Enhancement'!AT176</f>
        <v>0</v>
      </c>
    </row>
    <row r="668" spans="1:22" x14ac:dyDescent="0.3">
      <c r="A668" s="757">
        <f>'D-3 Off-Site Habitat Enhancment'!AU179</f>
        <v>0</v>
      </c>
      <c r="M668" s="757">
        <f>'E-3 Off-Site Hedge Enhancement'!AO180</f>
        <v>0</v>
      </c>
      <c r="V668" s="1">
        <f>'F-3 Off-Site WaterC Enhancement'!AT177</f>
        <v>0</v>
      </c>
    </row>
    <row r="669" spans="1:22" x14ac:dyDescent="0.3">
      <c r="A669" s="757">
        <f>'D-3 Off-Site Habitat Enhancment'!AU180</f>
        <v>0</v>
      </c>
      <c r="M669" s="757">
        <f>'E-3 Off-Site Hedge Enhancement'!AO181</f>
        <v>0</v>
      </c>
      <c r="V669" s="1">
        <f>'F-3 Off-Site WaterC Enhancement'!AT178</f>
        <v>0</v>
      </c>
    </row>
    <row r="670" spans="1:22" x14ac:dyDescent="0.3">
      <c r="A670" s="757">
        <f>'D-3 Off-Site Habitat Enhancment'!AU181</f>
        <v>0</v>
      </c>
      <c r="M670" s="757">
        <f>'E-3 Off-Site Hedge Enhancement'!AO182</f>
        <v>0</v>
      </c>
      <c r="V670" s="1">
        <f>'F-3 Off-Site WaterC Enhancement'!AT179</f>
        <v>0</v>
      </c>
    </row>
    <row r="671" spans="1:22" x14ac:dyDescent="0.3">
      <c r="A671" s="757">
        <f>'D-3 Off-Site Habitat Enhancment'!AU182</f>
        <v>0</v>
      </c>
      <c r="M671" s="757">
        <f>'E-3 Off-Site Hedge Enhancement'!AO183</f>
        <v>0</v>
      </c>
      <c r="V671" s="1">
        <f>'F-3 Off-Site WaterC Enhancement'!AT180</f>
        <v>0</v>
      </c>
    </row>
    <row r="672" spans="1:22" x14ac:dyDescent="0.3">
      <c r="A672" s="757">
        <f>'D-3 Off-Site Habitat Enhancment'!AU183</f>
        <v>0</v>
      </c>
      <c r="M672" s="757">
        <f>'E-3 Off-Site Hedge Enhancement'!AO184</f>
        <v>0</v>
      </c>
      <c r="V672" s="1">
        <f>'F-3 Off-Site WaterC Enhancement'!AT181</f>
        <v>0</v>
      </c>
    </row>
    <row r="673" spans="1:22" x14ac:dyDescent="0.3">
      <c r="A673" s="757">
        <f>'D-3 Off-Site Habitat Enhancment'!AU184</f>
        <v>0</v>
      </c>
      <c r="M673" s="757">
        <f>'E-3 Off-Site Hedge Enhancement'!AO185</f>
        <v>0</v>
      </c>
      <c r="V673" s="1">
        <f>'F-3 Off-Site WaterC Enhancement'!AT182</f>
        <v>0</v>
      </c>
    </row>
    <row r="674" spans="1:22" x14ac:dyDescent="0.3">
      <c r="A674" s="757">
        <f>'D-3 Off-Site Habitat Enhancment'!AU185</f>
        <v>0</v>
      </c>
      <c r="M674" s="757">
        <f>'E-3 Off-Site Hedge Enhancement'!AO186</f>
        <v>0</v>
      </c>
      <c r="V674" s="1">
        <f>'F-3 Off-Site WaterC Enhancement'!AT183</f>
        <v>0</v>
      </c>
    </row>
    <row r="675" spans="1:22" x14ac:dyDescent="0.3">
      <c r="A675" s="757">
        <f>'D-3 Off-Site Habitat Enhancment'!AU186</f>
        <v>0</v>
      </c>
      <c r="M675" s="757">
        <f>'E-3 Off-Site Hedge Enhancement'!AO187</f>
        <v>0</v>
      </c>
      <c r="V675" s="1">
        <f>'F-3 Off-Site WaterC Enhancement'!AT184</f>
        <v>0</v>
      </c>
    </row>
    <row r="676" spans="1:22" x14ac:dyDescent="0.3">
      <c r="A676" s="757">
        <f>'D-3 Off-Site Habitat Enhancment'!AU187</f>
        <v>0</v>
      </c>
      <c r="M676" s="757">
        <f>'E-3 Off-Site Hedge Enhancement'!AO188</f>
        <v>0</v>
      </c>
      <c r="V676" s="1">
        <f>'F-3 Off-Site WaterC Enhancement'!AT185</f>
        <v>0</v>
      </c>
    </row>
    <row r="677" spans="1:22" x14ac:dyDescent="0.3">
      <c r="A677" s="757">
        <f>'D-3 Off-Site Habitat Enhancment'!AU188</f>
        <v>0</v>
      </c>
      <c r="M677" s="757">
        <f>'E-3 Off-Site Hedge Enhancement'!AO189</f>
        <v>0</v>
      </c>
      <c r="V677" s="1">
        <f>'F-3 Off-Site WaterC Enhancement'!AT186</f>
        <v>0</v>
      </c>
    </row>
    <row r="678" spans="1:22" x14ac:dyDescent="0.3">
      <c r="A678" s="757">
        <f>'D-3 Off-Site Habitat Enhancment'!AU189</f>
        <v>0</v>
      </c>
      <c r="M678" s="757">
        <f>'E-3 Off-Site Hedge Enhancement'!AO190</f>
        <v>0</v>
      </c>
      <c r="V678" s="1">
        <f>'F-3 Off-Site WaterC Enhancement'!AT187</f>
        <v>0</v>
      </c>
    </row>
    <row r="679" spans="1:22" x14ac:dyDescent="0.3">
      <c r="A679" s="757">
        <f>'D-3 Off-Site Habitat Enhancment'!AU190</f>
        <v>0</v>
      </c>
      <c r="M679" s="757">
        <f>'E-3 Off-Site Hedge Enhancement'!AO191</f>
        <v>0</v>
      </c>
      <c r="V679" s="1">
        <f>'F-3 Off-Site WaterC Enhancement'!AT188</f>
        <v>0</v>
      </c>
    </row>
    <row r="680" spans="1:22" x14ac:dyDescent="0.3">
      <c r="A680" s="757">
        <f>'D-3 Off-Site Habitat Enhancment'!AU191</f>
        <v>0</v>
      </c>
      <c r="M680" s="757">
        <f>'E-3 Off-Site Hedge Enhancement'!AO192</f>
        <v>0</v>
      </c>
      <c r="V680" s="1">
        <f>'F-3 Off-Site WaterC Enhancement'!AT189</f>
        <v>0</v>
      </c>
    </row>
    <row r="681" spans="1:22" x14ac:dyDescent="0.3">
      <c r="A681" s="757">
        <f>'D-3 Off-Site Habitat Enhancment'!AU192</f>
        <v>0</v>
      </c>
      <c r="M681" s="757">
        <f>'E-3 Off-Site Hedge Enhancement'!AO193</f>
        <v>0</v>
      </c>
      <c r="V681" s="1">
        <f>'F-3 Off-Site WaterC Enhancement'!AT190</f>
        <v>0</v>
      </c>
    </row>
    <row r="682" spans="1:22" x14ac:dyDescent="0.3">
      <c r="A682" s="757">
        <f>'D-3 Off-Site Habitat Enhancment'!AU193</f>
        <v>0</v>
      </c>
      <c r="M682" s="757">
        <f>'E-3 Off-Site Hedge Enhancement'!AO194</f>
        <v>0</v>
      </c>
      <c r="V682" s="1">
        <f>'F-3 Off-Site WaterC Enhancement'!AT191</f>
        <v>0</v>
      </c>
    </row>
    <row r="683" spans="1:22" x14ac:dyDescent="0.3">
      <c r="A683" s="757">
        <f>'D-3 Off-Site Habitat Enhancment'!AU194</f>
        <v>0</v>
      </c>
      <c r="M683" s="757">
        <f>'E-3 Off-Site Hedge Enhancement'!AO195</f>
        <v>0</v>
      </c>
      <c r="V683" s="1">
        <f>'F-3 Off-Site WaterC Enhancement'!AT192</f>
        <v>0</v>
      </c>
    </row>
    <row r="684" spans="1:22" x14ac:dyDescent="0.3">
      <c r="A684" s="757">
        <f>'D-3 Off-Site Habitat Enhancment'!AU195</f>
        <v>0</v>
      </c>
      <c r="M684" s="757">
        <f>'E-3 Off-Site Hedge Enhancement'!AO196</f>
        <v>0</v>
      </c>
      <c r="V684" s="1">
        <f>'F-3 Off-Site WaterC Enhancement'!AT193</f>
        <v>0</v>
      </c>
    </row>
    <row r="685" spans="1:22" x14ac:dyDescent="0.3">
      <c r="A685" s="757">
        <f>'D-3 Off-Site Habitat Enhancment'!AU196</f>
        <v>0</v>
      </c>
      <c r="M685" s="757">
        <f>'E-3 Off-Site Hedge Enhancement'!AO197</f>
        <v>0</v>
      </c>
      <c r="V685" s="1">
        <f>'F-3 Off-Site WaterC Enhancement'!AT194</f>
        <v>0</v>
      </c>
    </row>
    <row r="686" spans="1:22" x14ac:dyDescent="0.3">
      <c r="A686" s="757">
        <f>'D-3 Off-Site Habitat Enhancment'!AU197</f>
        <v>0</v>
      </c>
      <c r="M686" s="757">
        <f>'E-3 Off-Site Hedge Enhancement'!AO198</f>
        <v>0</v>
      </c>
      <c r="V686" s="1">
        <f>'F-3 Off-Site WaterC Enhancement'!AT195</f>
        <v>0</v>
      </c>
    </row>
    <row r="687" spans="1:22" x14ac:dyDescent="0.3">
      <c r="A687" s="757">
        <f>'D-3 Off-Site Habitat Enhancment'!AU198</f>
        <v>0</v>
      </c>
      <c r="M687" s="757">
        <f>'E-3 Off-Site Hedge Enhancement'!AO199</f>
        <v>0</v>
      </c>
      <c r="V687" s="1">
        <f>'F-3 Off-Site WaterC Enhancement'!AT196</f>
        <v>0</v>
      </c>
    </row>
    <row r="688" spans="1:22" x14ac:dyDescent="0.3">
      <c r="A688" s="757">
        <f>'D-3 Off-Site Habitat Enhancment'!AU199</f>
        <v>0</v>
      </c>
      <c r="M688" s="757">
        <f>'E-3 Off-Site Hedge Enhancement'!AO200</f>
        <v>0</v>
      </c>
      <c r="V688" s="1">
        <f>'F-3 Off-Site WaterC Enhancement'!AT197</f>
        <v>0</v>
      </c>
    </row>
    <row r="689" spans="1:22" x14ac:dyDescent="0.3">
      <c r="A689" s="757">
        <f>'D-3 Off-Site Habitat Enhancment'!AU200</f>
        <v>0</v>
      </c>
      <c r="M689" s="757">
        <f>'E-3 Off-Site Hedge Enhancement'!AO201</f>
        <v>0</v>
      </c>
      <c r="V689" s="1">
        <f>'F-3 Off-Site WaterC Enhancement'!AT198</f>
        <v>0</v>
      </c>
    </row>
    <row r="690" spans="1:22" x14ac:dyDescent="0.3">
      <c r="A690" s="757">
        <f>'D-3 Off-Site Habitat Enhancment'!AU201</f>
        <v>0</v>
      </c>
      <c r="M690" s="757">
        <f>'E-3 Off-Site Hedge Enhancement'!AO202</f>
        <v>0</v>
      </c>
      <c r="V690" s="1">
        <f>'F-3 Off-Site WaterC Enhancement'!AT199</f>
        <v>0</v>
      </c>
    </row>
    <row r="691" spans="1:22" x14ac:dyDescent="0.3">
      <c r="A691" s="757">
        <f>'D-3 Off-Site Habitat Enhancment'!AU202</f>
        <v>0</v>
      </c>
      <c r="M691" s="757">
        <f>'E-3 Off-Site Hedge Enhancement'!AO203</f>
        <v>0</v>
      </c>
      <c r="V691" s="1">
        <f>'F-3 Off-Site WaterC Enhancement'!AT200</f>
        <v>0</v>
      </c>
    </row>
    <row r="692" spans="1:22" x14ac:dyDescent="0.3">
      <c r="A692" s="757">
        <f>'D-3 Off-Site Habitat Enhancment'!AU203</f>
        <v>0</v>
      </c>
      <c r="M692" s="757">
        <f>'E-3 Off-Site Hedge Enhancement'!AO204</f>
        <v>0</v>
      </c>
      <c r="V692" s="1">
        <f>'F-3 Off-Site WaterC Enhancement'!AT201</f>
        <v>0</v>
      </c>
    </row>
    <row r="693" spans="1:22" x14ac:dyDescent="0.3">
      <c r="A693" s="757">
        <f>'D-3 Off-Site Habitat Enhancment'!AU204</f>
        <v>0</v>
      </c>
      <c r="M693" s="757">
        <f>'E-3 Off-Site Hedge Enhancement'!AO205</f>
        <v>0</v>
      </c>
      <c r="V693" s="1">
        <f>'F-3 Off-Site WaterC Enhancement'!AT202</f>
        <v>0</v>
      </c>
    </row>
    <row r="694" spans="1:22" x14ac:dyDescent="0.3">
      <c r="A694" s="757">
        <f>'D-3 Off-Site Habitat Enhancment'!AU205</f>
        <v>0</v>
      </c>
      <c r="M694" s="757">
        <f>'E-3 Off-Site Hedge Enhancement'!AO206</f>
        <v>0</v>
      </c>
      <c r="V694" s="1">
        <f>'F-3 Off-Site WaterC Enhancement'!AT203</f>
        <v>0</v>
      </c>
    </row>
    <row r="695" spans="1:22" x14ac:dyDescent="0.3">
      <c r="A695" s="757">
        <f>'D-3 Off-Site Habitat Enhancment'!AU206</f>
        <v>0</v>
      </c>
      <c r="M695" s="757">
        <f>'E-3 Off-Site Hedge Enhancement'!AO207</f>
        <v>0</v>
      </c>
      <c r="V695" s="1">
        <f>'F-3 Off-Site WaterC Enhancement'!AT204</f>
        <v>0</v>
      </c>
    </row>
    <row r="696" spans="1:22" x14ac:dyDescent="0.3">
      <c r="A696" s="757">
        <f>'D-3 Off-Site Habitat Enhancment'!AU207</f>
        <v>0</v>
      </c>
      <c r="M696" s="757">
        <f>'E-3 Off-Site Hedge Enhancement'!AO208</f>
        <v>0</v>
      </c>
      <c r="V696" s="1">
        <f>'F-3 Off-Site WaterC Enhancement'!AT205</f>
        <v>0</v>
      </c>
    </row>
    <row r="697" spans="1:22" x14ac:dyDescent="0.3">
      <c r="A697" s="757">
        <f>'D-3 Off-Site Habitat Enhancment'!AU208</f>
        <v>0</v>
      </c>
      <c r="M697" s="757">
        <f>'E-3 Off-Site Hedge Enhancement'!AO209</f>
        <v>0</v>
      </c>
      <c r="V697" s="1">
        <f>'F-3 Off-Site WaterC Enhancement'!AT206</f>
        <v>0</v>
      </c>
    </row>
    <row r="698" spans="1:22" x14ac:dyDescent="0.3">
      <c r="A698" s="757">
        <f>'D-3 Off-Site Habitat Enhancment'!AU209</f>
        <v>0</v>
      </c>
      <c r="M698" s="757">
        <f>'E-3 Off-Site Hedge Enhancement'!AO210</f>
        <v>0</v>
      </c>
      <c r="V698" s="1">
        <f>'F-3 Off-Site WaterC Enhancement'!AT207</f>
        <v>0</v>
      </c>
    </row>
    <row r="699" spans="1:22" x14ac:dyDescent="0.3">
      <c r="A699" s="757">
        <f>'D-3 Off-Site Habitat Enhancment'!AU210</f>
        <v>0</v>
      </c>
      <c r="M699" s="757">
        <f>'E-3 Off-Site Hedge Enhancement'!AO211</f>
        <v>0</v>
      </c>
      <c r="V699" s="1">
        <f>'F-3 Off-Site WaterC Enhancement'!AT208</f>
        <v>0</v>
      </c>
    </row>
    <row r="700" spans="1:22" x14ac:dyDescent="0.3">
      <c r="A700" s="757">
        <f>'D-3 Off-Site Habitat Enhancment'!AU211</f>
        <v>0</v>
      </c>
      <c r="M700" s="757">
        <f>'E-3 Off-Site Hedge Enhancement'!AO212</f>
        <v>0</v>
      </c>
      <c r="V700" s="1">
        <f>'F-3 Off-Site WaterC Enhancement'!AT209</f>
        <v>0</v>
      </c>
    </row>
    <row r="701" spans="1:22" x14ac:dyDescent="0.3">
      <c r="A701" s="757">
        <f>'D-3 Off-Site Habitat Enhancment'!AU212</f>
        <v>0</v>
      </c>
      <c r="M701" s="757">
        <f>'E-3 Off-Site Hedge Enhancement'!AO213</f>
        <v>0</v>
      </c>
      <c r="V701" s="1">
        <f>'F-3 Off-Site WaterC Enhancement'!AT210</f>
        <v>0</v>
      </c>
    </row>
    <row r="702" spans="1:22" x14ac:dyDescent="0.3">
      <c r="A702" s="757">
        <f>'D-3 Off-Site Habitat Enhancment'!AU213</f>
        <v>0</v>
      </c>
      <c r="M702" s="757">
        <f>'E-3 Off-Site Hedge Enhancement'!AO214</f>
        <v>0</v>
      </c>
      <c r="V702" s="1">
        <f>'F-3 Off-Site WaterC Enhancement'!AT211</f>
        <v>0</v>
      </c>
    </row>
    <row r="703" spans="1:22" x14ac:dyDescent="0.3">
      <c r="A703" s="757">
        <f>'D-3 Off-Site Habitat Enhancment'!AU214</f>
        <v>0</v>
      </c>
      <c r="M703" s="757">
        <f>'E-3 Off-Site Hedge Enhancement'!AO215</f>
        <v>0</v>
      </c>
      <c r="V703" s="1">
        <f>'F-3 Off-Site WaterC Enhancement'!AT212</f>
        <v>0</v>
      </c>
    </row>
    <row r="704" spans="1:22" x14ac:dyDescent="0.3">
      <c r="A704" s="757">
        <f>'D-3 Off-Site Habitat Enhancment'!AU215</f>
        <v>0</v>
      </c>
      <c r="M704" s="757">
        <f>'E-3 Off-Site Hedge Enhancement'!AO216</f>
        <v>0</v>
      </c>
      <c r="V704" s="1">
        <f>'F-3 Off-Site WaterC Enhancement'!AT213</f>
        <v>0</v>
      </c>
    </row>
    <row r="705" spans="1:22" x14ac:dyDescent="0.3">
      <c r="A705" s="757">
        <f>'D-3 Off-Site Habitat Enhancment'!AU216</f>
        <v>0</v>
      </c>
      <c r="M705" s="757">
        <f>'E-3 Off-Site Hedge Enhancement'!AO217</f>
        <v>0</v>
      </c>
      <c r="V705" s="1">
        <f>'F-3 Off-Site WaterC Enhancement'!AT214</f>
        <v>0</v>
      </c>
    </row>
    <row r="706" spans="1:22" x14ac:dyDescent="0.3">
      <c r="A706" s="757">
        <f>'D-3 Off-Site Habitat Enhancment'!AU217</f>
        <v>0</v>
      </c>
      <c r="M706" s="757">
        <f>'E-3 Off-Site Hedge Enhancement'!AO218</f>
        <v>0</v>
      </c>
      <c r="V706" s="1">
        <f>'F-3 Off-Site WaterC Enhancement'!AT215</f>
        <v>0</v>
      </c>
    </row>
    <row r="707" spans="1:22" x14ac:dyDescent="0.3">
      <c r="A707" s="757">
        <f>'D-3 Off-Site Habitat Enhancment'!AU218</f>
        <v>0</v>
      </c>
      <c r="M707" s="757">
        <f>'E-3 Off-Site Hedge Enhancement'!AO219</f>
        <v>0</v>
      </c>
      <c r="V707" s="1">
        <f>'F-3 Off-Site WaterC Enhancement'!AT216</f>
        <v>0</v>
      </c>
    </row>
    <row r="708" spans="1:22" x14ac:dyDescent="0.3">
      <c r="A708" s="757">
        <f>'D-3 Off-Site Habitat Enhancment'!AU219</f>
        <v>0</v>
      </c>
      <c r="M708" s="757">
        <f>'E-3 Off-Site Hedge Enhancement'!AO220</f>
        <v>0</v>
      </c>
      <c r="V708" s="1">
        <f>'F-3 Off-Site WaterC Enhancement'!AT217</f>
        <v>0</v>
      </c>
    </row>
    <row r="709" spans="1:22" x14ac:dyDescent="0.3">
      <c r="A709" s="757">
        <f>'D-3 Off-Site Habitat Enhancment'!AU220</f>
        <v>0</v>
      </c>
      <c r="M709" s="757">
        <f>'E-3 Off-Site Hedge Enhancement'!AO221</f>
        <v>0</v>
      </c>
      <c r="V709" s="1">
        <f>'F-3 Off-Site WaterC Enhancement'!AT218</f>
        <v>0</v>
      </c>
    </row>
    <row r="710" spans="1:22" x14ac:dyDescent="0.3">
      <c r="A710" s="757">
        <f>'D-3 Off-Site Habitat Enhancment'!AU221</f>
        <v>0</v>
      </c>
      <c r="M710" s="757">
        <f>'E-3 Off-Site Hedge Enhancement'!AO222</f>
        <v>0</v>
      </c>
      <c r="V710" s="1">
        <f>'F-3 Off-Site WaterC Enhancement'!AT219</f>
        <v>0</v>
      </c>
    </row>
    <row r="711" spans="1:22" x14ac:dyDescent="0.3">
      <c r="A711" s="757">
        <f>'D-3 Off-Site Habitat Enhancment'!AU222</f>
        <v>0</v>
      </c>
      <c r="M711" s="757">
        <f>'E-3 Off-Site Hedge Enhancement'!AO223</f>
        <v>0</v>
      </c>
      <c r="V711" s="1">
        <f>'F-3 Off-Site WaterC Enhancement'!AT220</f>
        <v>0</v>
      </c>
    </row>
    <row r="712" spans="1:22" x14ac:dyDescent="0.3">
      <c r="A712" s="757">
        <f>'D-3 Off-Site Habitat Enhancment'!AU223</f>
        <v>0</v>
      </c>
      <c r="M712" s="757">
        <f>'E-3 Off-Site Hedge Enhancement'!AO224</f>
        <v>0</v>
      </c>
      <c r="V712" s="1">
        <f>'F-3 Off-Site WaterC Enhancement'!AT221</f>
        <v>0</v>
      </c>
    </row>
    <row r="713" spans="1:22" x14ac:dyDescent="0.3">
      <c r="A713" s="757">
        <f>'D-3 Off-Site Habitat Enhancment'!AU224</f>
        <v>0</v>
      </c>
      <c r="M713" s="757">
        <f>'E-3 Off-Site Hedge Enhancement'!AO225</f>
        <v>0</v>
      </c>
      <c r="V713" s="1">
        <f>'F-3 Off-Site WaterC Enhancement'!AT222</f>
        <v>0</v>
      </c>
    </row>
    <row r="714" spans="1:22" x14ac:dyDescent="0.3">
      <c r="A714" s="757">
        <f>'D-3 Off-Site Habitat Enhancment'!AU225</f>
        <v>0</v>
      </c>
      <c r="M714" s="757">
        <f>'E-3 Off-Site Hedge Enhancement'!AO226</f>
        <v>0</v>
      </c>
      <c r="V714" s="1">
        <f>'F-3 Off-Site WaterC Enhancement'!AT223</f>
        <v>0</v>
      </c>
    </row>
    <row r="715" spans="1:22" x14ac:dyDescent="0.3">
      <c r="A715" s="757">
        <f>'D-3 Off-Site Habitat Enhancment'!AU226</f>
        <v>0</v>
      </c>
      <c r="M715" s="757">
        <f>'E-3 Off-Site Hedge Enhancement'!AO227</f>
        <v>0</v>
      </c>
      <c r="V715" s="1">
        <f>'F-3 Off-Site WaterC Enhancement'!AT224</f>
        <v>0</v>
      </c>
    </row>
    <row r="716" spans="1:22" x14ac:dyDescent="0.3">
      <c r="A716" s="757">
        <f>'D-3 Off-Site Habitat Enhancment'!AU227</f>
        <v>0</v>
      </c>
      <c r="M716" s="757">
        <f>'E-3 Off-Site Hedge Enhancement'!AO228</f>
        <v>0</v>
      </c>
      <c r="V716" s="1">
        <f>'F-3 Off-Site WaterC Enhancement'!AT225</f>
        <v>0</v>
      </c>
    </row>
    <row r="717" spans="1:22" x14ac:dyDescent="0.3">
      <c r="A717" s="757">
        <f>'D-3 Off-Site Habitat Enhancment'!AU228</f>
        <v>0</v>
      </c>
      <c r="M717" s="757">
        <f>'E-3 Off-Site Hedge Enhancement'!AO229</f>
        <v>0</v>
      </c>
      <c r="V717" s="1">
        <f>'F-3 Off-Site WaterC Enhancement'!AT226</f>
        <v>0</v>
      </c>
    </row>
    <row r="718" spans="1:22" x14ac:dyDescent="0.3">
      <c r="A718" s="757">
        <f>'D-3 Off-Site Habitat Enhancment'!AU229</f>
        <v>0</v>
      </c>
      <c r="M718" s="757">
        <f>'E-3 Off-Site Hedge Enhancement'!AO230</f>
        <v>0</v>
      </c>
      <c r="V718" s="1">
        <f>'F-3 Off-Site WaterC Enhancement'!AT227</f>
        <v>0</v>
      </c>
    </row>
    <row r="719" spans="1:22" x14ac:dyDescent="0.3">
      <c r="A719" s="757">
        <f>'D-3 Off-Site Habitat Enhancment'!AU230</f>
        <v>0</v>
      </c>
      <c r="M719" s="757">
        <f>'E-3 Off-Site Hedge Enhancement'!AO231</f>
        <v>0</v>
      </c>
      <c r="V719" s="1">
        <f>'F-3 Off-Site WaterC Enhancement'!AT228</f>
        <v>0</v>
      </c>
    </row>
    <row r="720" spans="1:22" x14ac:dyDescent="0.3">
      <c r="A720" s="757">
        <f>'D-3 Off-Site Habitat Enhancment'!AU231</f>
        <v>0</v>
      </c>
      <c r="M720" s="757">
        <f>'E-3 Off-Site Hedge Enhancement'!AO232</f>
        <v>0</v>
      </c>
      <c r="V720" s="1">
        <f>'F-3 Off-Site WaterC Enhancement'!AT229</f>
        <v>0</v>
      </c>
    </row>
    <row r="721" spans="1:22" x14ac:dyDescent="0.3">
      <c r="A721" s="757">
        <f>'D-3 Off-Site Habitat Enhancment'!AU232</f>
        <v>0</v>
      </c>
      <c r="M721" s="757">
        <f>'E-3 Off-Site Hedge Enhancement'!AO233</f>
        <v>0</v>
      </c>
      <c r="V721" s="1">
        <f>'F-3 Off-Site WaterC Enhancement'!AT230</f>
        <v>0</v>
      </c>
    </row>
    <row r="722" spans="1:22" x14ac:dyDescent="0.3">
      <c r="A722" s="757">
        <f>'D-3 Off-Site Habitat Enhancment'!AU233</f>
        <v>0</v>
      </c>
      <c r="M722" s="757">
        <f>'E-3 Off-Site Hedge Enhancement'!AO234</f>
        <v>0</v>
      </c>
      <c r="V722" s="1">
        <f>'F-3 Off-Site WaterC Enhancement'!AT231</f>
        <v>0</v>
      </c>
    </row>
    <row r="723" spans="1:22" x14ac:dyDescent="0.3">
      <c r="A723" s="757">
        <f>'D-3 Off-Site Habitat Enhancment'!AU234</f>
        <v>0</v>
      </c>
      <c r="M723" s="757">
        <f>'E-3 Off-Site Hedge Enhancement'!AO235</f>
        <v>0</v>
      </c>
      <c r="V723" s="1">
        <f>'F-3 Off-Site WaterC Enhancement'!AT232</f>
        <v>0</v>
      </c>
    </row>
    <row r="724" spans="1:22" x14ac:dyDescent="0.3">
      <c r="A724" s="757">
        <f>'D-3 Off-Site Habitat Enhancment'!AU235</f>
        <v>0</v>
      </c>
      <c r="M724" s="757">
        <f>'E-3 Off-Site Hedge Enhancement'!AO236</f>
        <v>0</v>
      </c>
      <c r="V724" s="1">
        <f>'F-3 Off-Site WaterC Enhancement'!AT233</f>
        <v>0</v>
      </c>
    </row>
    <row r="725" spans="1:22" x14ac:dyDescent="0.3">
      <c r="A725" s="757">
        <f>'D-3 Off-Site Habitat Enhancment'!AU236</f>
        <v>0</v>
      </c>
      <c r="M725" s="757">
        <f>'E-3 Off-Site Hedge Enhancement'!AO237</f>
        <v>0</v>
      </c>
      <c r="V725" s="1">
        <f>'F-3 Off-Site WaterC Enhancement'!AT234</f>
        <v>0</v>
      </c>
    </row>
    <row r="726" spans="1:22" x14ac:dyDescent="0.3">
      <c r="A726" s="757">
        <f>'D-3 Off-Site Habitat Enhancment'!AU237</f>
        <v>0</v>
      </c>
      <c r="M726" s="757">
        <f>'E-3 Off-Site Hedge Enhancement'!AO238</f>
        <v>0</v>
      </c>
      <c r="V726" s="1">
        <f>'F-3 Off-Site WaterC Enhancement'!AT235</f>
        <v>0</v>
      </c>
    </row>
    <row r="727" spans="1:22" x14ac:dyDescent="0.3">
      <c r="A727" s="757">
        <f>'D-3 Off-Site Habitat Enhancment'!AU238</f>
        <v>0</v>
      </c>
      <c r="M727" s="757">
        <f>'E-3 Off-Site Hedge Enhancement'!AO239</f>
        <v>0</v>
      </c>
      <c r="V727" s="1">
        <f>'F-3 Off-Site WaterC Enhancement'!AT236</f>
        <v>0</v>
      </c>
    </row>
    <row r="728" spans="1:22" x14ac:dyDescent="0.3">
      <c r="A728" s="757">
        <f>'D-3 Off-Site Habitat Enhancment'!AU239</f>
        <v>0</v>
      </c>
      <c r="M728" s="757">
        <f>'E-3 Off-Site Hedge Enhancement'!AO240</f>
        <v>0</v>
      </c>
      <c r="V728" s="1">
        <f>'F-3 Off-Site WaterC Enhancement'!AT237</f>
        <v>0</v>
      </c>
    </row>
    <row r="729" spans="1:22" x14ac:dyDescent="0.3">
      <c r="A729" s="757">
        <f>'D-3 Off-Site Habitat Enhancment'!AU240</f>
        <v>0</v>
      </c>
      <c r="M729" s="757">
        <f>'E-3 Off-Site Hedge Enhancement'!AO241</f>
        <v>0</v>
      </c>
      <c r="V729" s="1">
        <f>'F-3 Off-Site WaterC Enhancement'!AT238</f>
        <v>0</v>
      </c>
    </row>
    <row r="730" spans="1:22" x14ac:dyDescent="0.3">
      <c r="A730" s="757">
        <f>'D-3 Off-Site Habitat Enhancment'!AU241</f>
        <v>0</v>
      </c>
      <c r="M730" s="757">
        <f>'E-3 Off-Site Hedge Enhancement'!AO242</f>
        <v>0</v>
      </c>
      <c r="V730" s="1">
        <f>'F-3 Off-Site WaterC Enhancement'!AT239</f>
        <v>0</v>
      </c>
    </row>
    <row r="731" spans="1:22" x14ac:dyDescent="0.3">
      <c r="A731" s="757">
        <f>'D-3 Off-Site Habitat Enhancment'!AU242</f>
        <v>0</v>
      </c>
      <c r="M731" s="757">
        <f>'E-3 Off-Site Hedge Enhancement'!AO243</f>
        <v>0</v>
      </c>
      <c r="V731" s="1">
        <f>'F-3 Off-Site WaterC Enhancement'!AT240</f>
        <v>0</v>
      </c>
    </row>
    <row r="732" spans="1:22" x14ac:dyDescent="0.3">
      <c r="A732" s="757">
        <f>'D-3 Off-Site Habitat Enhancment'!AU243</f>
        <v>0</v>
      </c>
      <c r="M732" s="757">
        <f>'E-3 Off-Site Hedge Enhancement'!AO244</f>
        <v>0</v>
      </c>
      <c r="V732" s="1">
        <f>'F-3 Off-Site WaterC Enhancement'!AT241</f>
        <v>0</v>
      </c>
    </row>
    <row r="733" spans="1:22" x14ac:dyDescent="0.3">
      <c r="A733" s="757">
        <f>'D-3 Off-Site Habitat Enhancment'!AU244</f>
        <v>0</v>
      </c>
      <c r="M733" s="757">
        <f>'E-3 Off-Site Hedge Enhancement'!AO245</f>
        <v>0</v>
      </c>
      <c r="V733" s="1">
        <f>'F-3 Off-Site WaterC Enhancement'!AT242</f>
        <v>0</v>
      </c>
    </row>
    <row r="734" spans="1:22" x14ac:dyDescent="0.3">
      <c r="A734" s="757">
        <f>'D-3 Off-Site Habitat Enhancment'!AU245</f>
        <v>0</v>
      </c>
      <c r="M734" s="757">
        <f>'E-3 Off-Site Hedge Enhancement'!AO246</f>
        <v>0</v>
      </c>
      <c r="V734" s="1">
        <f>'F-3 Off-Site WaterC Enhancement'!AT243</f>
        <v>0</v>
      </c>
    </row>
    <row r="735" spans="1:22" x14ac:dyDescent="0.3">
      <c r="A735" s="757">
        <f>'D-3 Off-Site Habitat Enhancment'!AU246</f>
        <v>0</v>
      </c>
      <c r="M735" s="757">
        <f>'E-3 Off-Site Hedge Enhancement'!AO247</f>
        <v>0</v>
      </c>
      <c r="V735" s="1">
        <f>'F-3 Off-Site WaterC Enhancement'!AT244</f>
        <v>0</v>
      </c>
    </row>
    <row r="736" spans="1:22" x14ac:dyDescent="0.3">
      <c r="A736" s="757">
        <f>'D-3 Off-Site Habitat Enhancment'!AU247</f>
        <v>0</v>
      </c>
      <c r="M736" s="757">
        <f>'E-3 Off-Site Hedge Enhancement'!AO248</f>
        <v>0</v>
      </c>
      <c r="V736" s="1">
        <f>'F-3 Off-Site WaterC Enhancement'!AT245</f>
        <v>0</v>
      </c>
    </row>
    <row r="737" spans="1:22" x14ac:dyDescent="0.3">
      <c r="A737" s="757">
        <f>'D-3 Off-Site Habitat Enhancment'!AU248</f>
        <v>0</v>
      </c>
      <c r="M737" s="757">
        <f>'E-3 Off-Site Hedge Enhancement'!AO249</f>
        <v>0</v>
      </c>
      <c r="V737" s="1">
        <f>'F-3 Off-Site WaterC Enhancement'!AT246</f>
        <v>0</v>
      </c>
    </row>
    <row r="738" spans="1:22" x14ac:dyDescent="0.3">
      <c r="A738" s="757">
        <f>'D-3 Off-Site Habitat Enhancment'!AU249</f>
        <v>0</v>
      </c>
      <c r="M738" s="757">
        <f>'E-3 Off-Site Hedge Enhancement'!AO250</f>
        <v>0</v>
      </c>
      <c r="V738" s="1">
        <f>'F-3 Off-Site WaterC Enhancement'!AT247</f>
        <v>0</v>
      </c>
    </row>
    <row r="739" spans="1:22" x14ac:dyDescent="0.3">
      <c r="A739" s="757">
        <f>'D-3 Off-Site Habitat Enhancment'!AU250</f>
        <v>0</v>
      </c>
      <c r="M739" s="757">
        <f>'E-3 Off-Site Hedge Enhancement'!AO251</f>
        <v>0</v>
      </c>
      <c r="V739" s="1">
        <f>'F-3 Off-Site WaterC Enhancement'!AT248</f>
        <v>0</v>
      </c>
    </row>
    <row r="740" spans="1:22" x14ac:dyDescent="0.3">
      <c r="A740" s="757">
        <f>'D-3 Off-Site Habitat Enhancment'!AU251</f>
        <v>0</v>
      </c>
      <c r="M740" s="757">
        <f>'E-3 Off-Site Hedge Enhancement'!AO252</f>
        <v>0</v>
      </c>
      <c r="V740" s="1">
        <f>'F-3 Off-Site WaterC Enhancement'!AT249</f>
        <v>0</v>
      </c>
    </row>
    <row r="741" spans="1:22" x14ac:dyDescent="0.3">
      <c r="A741" s="757">
        <f>'D-3 Off-Site Habitat Enhancment'!AU252</f>
        <v>0</v>
      </c>
      <c r="M741" s="757">
        <f>'E-3 Off-Site Hedge Enhancement'!AO253</f>
        <v>0</v>
      </c>
      <c r="V741" s="1">
        <f>'F-3 Off-Site WaterC Enhancement'!AT250</f>
        <v>0</v>
      </c>
    </row>
    <row r="742" spans="1:22" x14ac:dyDescent="0.3">
      <c r="A742" s="757">
        <f>'D-3 Off-Site Habitat Enhancment'!AU253</f>
        <v>0</v>
      </c>
      <c r="M742" s="757">
        <f>'E-3 Off-Site Hedge Enhancement'!AO254</f>
        <v>0</v>
      </c>
      <c r="V742" s="1">
        <f>'F-3 Off-Site WaterC Enhancement'!AT251</f>
        <v>0</v>
      </c>
    </row>
    <row r="743" spans="1:22" x14ac:dyDescent="0.3">
      <c r="A743" s="757">
        <f>'D-3 Off-Site Habitat Enhancment'!AU254</f>
        <v>0</v>
      </c>
      <c r="M743" s="757">
        <f>'E-3 Off-Site Hedge Enhancement'!AO255</f>
        <v>0</v>
      </c>
      <c r="V743" s="1">
        <f>'F-3 Off-Site WaterC Enhancement'!AT252</f>
        <v>0</v>
      </c>
    </row>
    <row r="744" spans="1:22" x14ac:dyDescent="0.3">
      <c r="A744" s="757">
        <f>'D-3 Off-Site Habitat Enhancment'!AU255</f>
        <v>0</v>
      </c>
      <c r="M744" s="757">
        <f>'E-3 Off-Site Hedge Enhancement'!AO256</f>
        <v>0</v>
      </c>
      <c r="V744" s="1">
        <f>'F-3 Off-Site WaterC Enhancement'!AT253</f>
        <v>0</v>
      </c>
    </row>
    <row r="745" spans="1:22" x14ac:dyDescent="0.3">
      <c r="A745" s="757">
        <f>'D-3 Off-Site Habitat Enhancment'!AU256</f>
        <v>0</v>
      </c>
      <c r="M745" s="757">
        <f>'E-3 Off-Site Hedge Enhancement'!AO257</f>
        <v>0</v>
      </c>
      <c r="V745" s="1">
        <f>'F-3 Off-Site WaterC Enhancement'!AT254</f>
        <v>0</v>
      </c>
    </row>
    <row r="746" spans="1:22" x14ac:dyDescent="0.3">
      <c r="A746" s="757">
        <f>'D-3 Off-Site Habitat Enhancment'!AU257</f>
        <v>0</v>
      </c>
      <c r="M746" s="758"/>
      <c r="V746" s="1">
        <f>'F-3 Off-Site WaterC Enhancement'!AT255</f>
        <v>0</v>
      </c>
    </row>
    <row r="747" spans="1:22" x14ac:dyDescent="0.3">
      <c r="A747" s="757">
        <f>'D-3 Off-Site Habitat Enhancment'!AU258</f>
        <v>0</v>
      </c>
      <c r="V747" s="1">
        <f>'F-3 Off-Site WaterC Enhancement'!AT256</f>
        <v>0</v>
      </c>
    </row>
    <row r="748" spans="1:22" x14ac:dyDescent="0.3">
      <c r="A748" s="758"/>
      <c r="V748" s="1">
        <f>'F-3 Off-Site WaterC Enhancement'!AT257</f>
        <v>0</v>
      </c>
    </row>
    <row r="749" spans="1:22" x14ac:dyDescent="0.3">
      <c r="V749" s="721"/>
    </row>
  </sheetData>
  <sheetProtection algorithmName="SHA-512" hashValue="wnmXZkPXWCrAkPZPIwyuLA1aE2eQ8pNMTXXBauYSg3WATgdCAFQK9PqrNp6Ym1P2rfaMmkGC2lH+/nOWidFFmA==" saltValue="oJvQdU+cg09Hm09ODwHEHQ==" spinCount="100000" sheet="1" objects="1" scenarios="1"/>
  <mergeCells count="432">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 ref="AE107:AF107"/>
    <mergeCell ref="D105:E105"/>
    <mergeCell ref="F105:G105"/>
    <mergeCell ref="H105:I105"/>
    <mergeCell ref="AE105:AF105"/>
    <mergeCell ref="D106:E106"/>
    <mergeCell ref="F106:G106"/>
    <mergeCell ref="H106:I106"/>
    <mergeCell ref="AE106:AF106"/>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N3:U4"/>
    <mergeCell ref="D7:E7"/>
    <mergeCell ref="F7:G7"/>
    <mergeCell ref="H7:I7"/>
    <mergeCell ref="B3:L4"/>
    <mergeCell ref="B5:B6"/>
    <mergeCell ref="D5:E6"/>
    <mergeCell ref="F5:G6"/>
    <mergeCell ref="H5:I6"/>
    <mergeCell ref="C5:C6"/>
    <mergeCell ref="J5:J6"/>
    <mergeCell ref="L5:L6"/>
    <mergeCell ref="K5:K6"/>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 zoomScale="55" zoomScaleNormal="55" workbookViewId="0">
      <selection activeCell="S15" sqref="S15"/>
    </sheetView>
  </sheetViews>
  <sheetFormatPr defaultColWidth="0" defaultRowHeight="13.8" zeroHeight="1" x14ac:dyDescent="0.25"/>
  <cols>
    <col min="1" max="1" width="9.21875" style="35" hidden="1" customWidth="1"/>
    <col min="2" max="2" width="12.44140625" style="35" hidden="1" customWidth="1"/>
    <col min="3" max="3" width="14.44140625" style="35" hidden="1" customWidth="1"/>
    <col min="4" max="4" width="5.21875" style="37" customWidth="1"/>
    <col min="5" max="5" width="24.21875" style="37" customWidth="1"/>
    <col min="6" max="6" width="72.77734375" style="37" customWidth="1"/>
    <col min="7" max="7" width="25.44140625" style="35" hidden="1" customWidth="1"/>
    <col min="8" max="8" width="14.21875" style="37" customWidth="1"/>
    <col min="9" max="9" width="17.77734375" style="37" customWidth="1"/>
    <col min="10" max="10" width="7.44140625" style="37" customWidth="1"/>
    <col min="11" max="11" width="17.21875" style="37" customWidth="1"/>
    <col min="12" max="12" width="9.5546875" style="37" customWidth="1"/>
    <col min="13" max="13" width="41.77734375" style="37" customWidth="1"/>
    <col min="14" max="14" width="17.44140625" style="37" customWidth="1"/>
    <col min="15" max="15" width="17.21875" style="37" customWidth="1"/>
    <col min="16" max="16" width="30.77734375" style="37" customWidth="1"/>
    <col min="17" max="17" width="18" style="37" bestFit="1" customWidth="1"/>
    <col min="18" max="18" width="6" style="35" customWidth="1"/>
    <col min="19" max="19" width="10.21875" style="37" customWidth="1"/>
    <col min="20" max="20" width="11.44140625" style="37" customWidth="1"/>
    <col min="21" max="21" width="10.21875" style="37" bestFit="1" customWidth="1"/>
    <col min="22" max="22" width="11.77734375" style="37" bestFit="1" customWidth="1"/>
    <col min="23" max="23" width="14.44140625" style="37" customWidth="1"/>
    <col min="24" max="24" width="17" style="37" customWidth="1"/>
    <col min="25" max="25" width="19" style="37" customWidth="1"/>
    <col min="26" max="26" width="50.21875" style="37" customWidth="1"/>
    <col min="27" max="27" width="41.77734375" style="37" customWidth="1"/>
    <col min="28" max="28" width="20.77734375" style="37" customWidth="1"/>
    <col min="29" max="46" width="12.77734375" style="35" hidden="1" customWidth="1"/>
    <col min="47" max="16379" width="12.77734375" style="35" customWidth="1"/>
    <col min="16380" max="16381" width="5.77734375" style="35" customWidth="1"/>
    <col min="16382" max="16382" width="6" style="35" customWidth="1"/>
    <col min="16383" max="16383" width="5.44140625" style="35" customWidth="1"/>
    <col min="16384" max="16384" width="16.21875" style="35" customWidth="1"/>
  </cols>
  <sheetData>
    <row r="1" spans="1:43" ht="14.4" thickBot="1" x14ac:dyDescent="0.3"/>
    <row r="2" spans="1:43" ht="18" thickBot="1" x14ac:dyDescent="0.35">
      <c r="D2" s="1433" t="str">
        <f>CONCATENATE("Project Name:", " ", Start!F12, "     ", "Map Reference:", " ", Start!F55)</f>
        <v xml:space="preserve">Project Name: Broadfield Park Slopes (‘The Slopes’), The Esplanade, Rochdale, OL16 1AQ     Map Reference: </v>
      </c>
      <c r="E2" s="1434"/>
      <c r="F2" s="1435"/>
      <c r="I2" s="1404" t="s">
        <v>262</v>
      </c>
      <c r="J2" s="1405"/>
      <c r="K2" s="1405"/>
      <c r="L2" s="1405"/>
      <c r="M2" s="1406"/>
      <c r="Q2" s="1423" t="str" cm="1">
        <f t="array" ref="Q2">IF(OR(K11:K258 = "Fairly Good", K11:K258 = "Fairly Poor"),"A 'Fairly' Category has been used - check evidence to ensure this is appropriate ⚠", "")</f>
        <v/>
      </c>
      <c r="R2" s="1423"/>
      <c r="S2" s="1423"/>
      <c r="T2" s="1423"/>
      <c r="U2" s="1423"/>
      <c r="V2" s="1423"/>
      <c r="W2" s="1423"/>
      <c r="X2" s="1423"/>
    </row>
    <row r="3" spans="1:43" ht="15.6" customHeight="1" x14ac:dyDescent="0.25">
      <c r="D3" s="1427" t="str">
        <f ca="1">MID(CELL("filename",C1),FIND("]",CELL("filename",C1))+1,256)</f>
        <v>A-1 On-Site Habitat Baseline</v>
      </c>
      <c r="E3" s="1428"/>
      <c r="F3" s="1429"/>
      <c r="I3" s="1442" t="s">
        <v>263</v>
      </c>
      <c r="J3" s="1443"/>
      <c r="K3" s="1443"/>
      <c r="L3" s="1436">
        <f>'Headline Results'!H47</f>
        <v>-4.3556251813435223</v>
      </c>
      <c r="M3" s="1437"/>
      <c r="N3" s="735"/>
      <c r="Q3" s="1423"/>
      <c r="R3" s="1423"/>
      <c r="S3" s="1423"/>
      <c r="T3" s="1423"/>
      <c r="U3" s="1423"/>
      <c r="V3" s="1423"/>
      <c r="W3" s="1423"/>
      <c r="X3" s="1423"/>
      <c r="AC3" s="35" t="s">
        <v>264</v>
      </c>
      <c r="AD3" s="35" t="s">
        <v>264</v>
      </c>
      <c r="AE3" s="35" t="s">
        <v>264</v>
      </c>
      <c r="AF3" s="35" t="s">
        <v>264</v>
      </c>
      <c r="AG3" s="35" t="s">
        <v>264</v>
      </c>
      <c r="AH3" s="35" t="s">
        <v>264</v>
      </c>
      <c r="AI3" s="35" t="s">
        <v>264</v>
      </c>
      <c r="AJ3" s="35" t="s">
        <v>264</v>
      </c>
      <c r="AK3" s="35" t="s">
        <v>264</v>
      </c>
      <c r="AL3" s="35" t="s">
        <v>264</v>
      </c>
      <c r="AM3" s="35" t="s">
        <v>264</v>
      </c>
      <c r="AN3" s="35" t="s">
        <v>264</v>
      </c>
    </row>
    <row r="4" spans="1:43" ht="15" customHeight="1" thickBot="1" x14ac:dyDescent="0.3">
      <c r="D4" s="1430"/>
      <c r="E4" s="1431"/>
      <c r="F4" s="1432"/>
      <c r="I4" s="1444" t="s">
        <v>265</v>
      </c>
      <c r="J4" s="1445"/>
      <c r="K4" s="1445"/>
      <c r="L4" s="1438">
        <f>'Headline Results'!H51</f>
        <v>-0.50089298888919165</v>
      </c>
      <c r="M4" s="1439"/>
      <c r="N4" s="735"/>
      <c r="Q4" s="1423"/>
      <c r="R4" s="1423"/>
      <c r="S4" s="1423"/>
      <c r="T4" s="1423"/>
      <c r="U4" s="1423"/>
      <c r="V4" s="1423"/>
      <c r="W4" s="1423"/>
      <c r="X4" s="1423"/>
      <c r="AF4" s="35" t="s">
        <v>266</v>
      </c>
      <c r="AG4" s="35" t="s">
        <v>266</v>
      </c>
      <c r="AH4" s="35" t="s">
        <v>266</v>
      </c>
      <c r="AI4" s="35" t="s">
        <v>266</v>
      </c>
      <c r="AJ4" s="35" t="s">
        <v>266</v>
      </c>
      <c r="AK4" s="35" t="s">
        <v>266</v>
      </c>
      <c r="AL4" s="35" t="s">
        <v>266</v>
      </c>
      <c r="AM4" s="35" t="s">
        <v>266</v>
      </c>
      <c r="AN4" s="35" t="s">
        <v>266</v>
      </c>
    </row>
    <row r="5" spans="1:43" ht="15.6" customHeight="1" thickBot="1" x14ac:dyDescent="0.3">
      <c r="I5" s="1446" t="s">
        <v>267</v>
      </c>
      <c r="J5" s="1440"/>
      <c r="K5" s="1440"/>
      <c r="L5" s="1440" t="str" cm="1">
        <f t="array" ref="L5">IF(OR('Trading Summary Area Habitats'!G5:G8="No ▲"), "No - check trading summaries ▲", "Yes ✓")</f>
        <v>No - check trading summaries ▲</v>
      </c>
      <c r="M5" s="1441"/>
      <c r="N5" s="735"/>
      <c r="Q5" s="1423"/>
      <c r="R5" s="1423"/>
      <c r="S5" s="1423"/>
      <c r="T5" s="1423"/>
      <c r="U5" s="1423"/>
      <c r="V5" s="1423"/>
      <c r="W5" s="1423"/>
      <c r="X5" s="1423"/>
    </row>
    <row r="6" spans="1:43" ht="16.2" customHeight="1" x14ac:dyDescent="0.25">
      <c r="I6" s="1415" t="str" cm="1">
        <f t="array" ref="I6">IF(OR(E11:E258="watercourse footprint"),"Please ensure the watercourse details for any watercourse footprints recorded are included in the watercourse tabs ⚠","")</f>
        <v/>
      </c>
      <c r="J6" s="1415"/>
      <c r="K6" s="1415"/>
      <c r="L6" s="1415"/>
      <c r="M6" s="1415"/>
    </row>
    <row r="7" spans="1:43" x14ac:dyDescent="0.25">
      <c r="I7" s="1184"/>
      <c r="J7" s="1184"/>
      <c r="K7" s="1184"/>
      <c r="L7" s="1184"/>
      <c r="M7" s="1184"/>
    </row>
    <row r="8" spans="1:43" ht="31.2" customHeight="1" thickBot="1" x14ac:dyDescent="0.3">
      <c r="D8" s="38"/>
      <c r="E8" s="38"/>
      <c r="F8" s="38"/>
      <c r="I8" s="1416"/>
      <c r="J8" s="1416"/>
      <c r="K8" s="1416"/>
      <c r="L8" s="1416"/>
      <c r="M8" s="1416"/>
    </row>
    <row r="9" spans="1:43" ht="29.55" customHeight="1" thickBot="1" x14ac:dyDescent="0.3">
      <c r="D9" s="38"/>
      <c r="E9" s="1410" t="s">
        <v>268</v>
      </c>
      <c r="F9" s="1411"/>
      <c r="G9" s="1411"/>
      <c r="H9" s="1412"/>
      <c r="I9" s="1410" t="s">
        <v>269</v>
      </c>
      <c r="J9" s="1412"/>
      <c r="K9" s="1410" t="s">
        <v>270</v>
      </c>
      <c r="L9" s="1412"/>
      <c r="M9" s="1410" t="s">
        <v>271</v>
      </c>
      <c r="N9" s="1411"/>
      <c r="O9" s="1412"/>
      <c r="P9" s="1413" t="s">
        <v>272</v>
      </c>
      <c r="Q9" s="718" t="s">
        <v>273</v>
      </c>
      <c r="R9" s="39"/>
      <c r="S9" s="1407" t="s">
        <v>274</v>
      </c>
      <c r="T9" s="1408"/>
      <c r="U9" s="1408"/>
      <c r="V9" s="1408"/>
      <c r="W9" s="1408"/>
      <c r="X9" s="1409"/>
      <c r="Y9" s="1413" t="s">
        <v>275</v>
      </c>
      <c r="Z9" s="1407" t="s">
        <v>276</v>
      </c>
      <c r="AA9" s="1408"/>
      <c r="AB9" s="1409"/>
      <c r="AC9" s="35" t="s">
        <v>266</v>
      </c>
      <c r="AD9" s="35" t="s">
        <v>266</v>
      </c>
      <c r="AF9" s="40" t="s">
        <v>277</v>
      </c>
      <c r="AG9" s="40"/>
      <c r="AH9" s="40"/>
      <c r="AI9" s="40"/>
      <c r="AJ9" s="40"/>
      <c r="AK9" s="40" t="s">
        <v>278</v>
      </c>
      <c r="AL9" s="40"/>
      <c r="AM9" s="40"/>
      <c r="AN9" s="40"/>
      <c r="AQ9" s="35" t="s">
        <v>279</v>
      </c>
    </row>
    <row r="10" spans="1:43" ht="44.25" customHeight="1" thickBot="1" x14ac:dyDescent="0.3">
      <c r="B10" s="41" t="s">
        <v>280</v>
      </c>
      <c r="D10" s="44" t="s">
        <v>281</v>
      </c>
      <c r="E10" s="476" t="s">
        <v>282</v>
      </c>
      <c r="F10" s="477" t="s">
        <v>283</v>
      </c>
      <c r="G10" s="728" t="s">
        <v>284</v>
      </c>
      <c r="H10" s="43" t="s">
        <v>285</v>
      </c>
      <c r="I10" s="44" t="s">
        <v>269</v>
      </c>
      <c r="J10" s="43" t="s">
        <v>286</v>
      </c>
      <c r="K10" s="44" t="s">
        <v>270</v>
      </c>
      <c r="L10" s="43" t="s">
        <v>286</v>
      </c>
      <c r="M10" s="44" t="s">
        <v>271</v>
      </c>
      <c r="N10" s="292" t="s">
        <v>271</v>
      </c>
      <c r="O10" s="43" t="s">
        <v>287</v>
      </c>
      <c r="P10" s="1414"/>
      <c r="Q10" s="42" t="s">
        <v>288</v>
      </c>
      <c r="R10" s="39"/>
      <c r="S10" s="45" t="s">
        <v>289</v>
      </c>
      <c r="T10" s="46" t="s">
        <v>290</v>
      </c>
      <c r="U10" s="47" t="s">
        <v>291</v>
      </c>
      <c r="V10" s="47" t="s">
        <v>292</v>
      </c>
      <c r="W10" s="47" t="s">
        <v>293</v>
      </c>
      <c r="X10" s="48" t="s">
        <v>294</v>
      </c>
      <c r="Y10" s="1414"/>
      <c r="Z10" s="49" t="s">
        <v>295</v>
      </c>
      <c r="AA10" s="524" t="s">
        <v>296</v>
      </c>
      <c r="AB10" s="48" t="s">
        <v>297</v>
      </c>
      <c r="AC10" s="733" t="s">
        <v>298</v>
      </c>
      <c r="AD10" s="733" t="s">
        <v>299</v>
      </c>
      <c r="AF10" s="40" t="s">
        <v>300</v>
      </c>
      <c r="AG10" s="40" t="s">
        <v>301</v>
      </c>
      <c r="AH10" s="40" t="s">
        <v>302</v>
      </c>
      <c r="AI10" s="40" t="s">
        <v>303</v>
      </c>
      <c r="AJ10" s="40"/>
      <c r="AK10" s="40" t="s">
        <v>300</v>
      </c>
      <c r="AL10" s="40" t="s">
        <v>301</v>
      </c>
      <c r="AM10" s="40" t="s">
        <v>302</v>
      </c>
      <c r="AN10" s="40"/>
    </row>
    <row r="11" spans="1:43" ht="41.4" x14ac:dyDescent="0.25">
      <c r="A11" s="35" t="str">
        <f>IFERROR(INDEX('G-1 All Habitats'!$AG$3:$AG$17,MATCH(E11,'G-1 All Habitats'!$AF$3:$AF$17,0)),"")</f>
        <v>Grassland</v>
      </c>
      <c r="B11" s="35" t="str">
        <f>IFERROR(INDEX('G-8 Condition Look up'!$I$4:$I$135,MATCH(G11,'G-8 Condition Look up'!$A$4:$A$135,0)),"")</f>
        <v>Cond4</v>
      </c>
      <c r="D11" s="787">
        <v>1</v>
      </c>
      <c r="E11" s="812" t="s">
        <v>125</v>
      </c>
      <c r="F11" s="51" t="s">
        <v>544</v>
      </c>
      <c r="G11" s="788" t="str">
        <f>IFERROR(INDEX('G-1 All Habitats'!$B$3:$B$134,MATCH(F11,'G-1 All Habitats'!$A$3:$A$134,0)),"")</f>
        <v>Grassland - Other neutral grassland</v>
      </c>
      <c r="H11" s="789">
        <v>0.121</v>
      </c>
      <c r="I11" s="443" t="str">
        <f>IF(G11="","",VLOOKUP(G11,'G-1 All Habitats'!$B$2:$M$134,10,FALSE))</f>
        <v>Medium</v>
      </c>
      <c r="J11" s="790">
        <f>IFERROR(VLOOKUP(I11,'G-1 All Habitats'!$V$3:$W$7,2,FALSE),"")</f>
        <v>4</v>
      </c>
      <c r="K11" s="791" t="s">
        <v>68</v>
      </c>
      <c r="L11" s="790">
        <f>IFERROR(INDEX('G-8 Condition Look up'!$A$3:$H$135,MATCH(G11,'G-8 Condition Look up'!$A$3:$A$135,0),MATCH(K11,'G-8 Condition Look up'!$A$3:$H$3,0)),"")</f>
        <v>3</v>
      </c>
      <c r="M11" s="54" t="s">
        <v>1034</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1.452</v>
      </c>
      <c r="R11" s="36"/>
      <c r="S11" s="791"/>
      <c r="T11" s="801"/>
      <c r="U11" s="802">
        <f>IFERROR(S11*J11*L11*O11,"")</f>
        <v>0</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0.121</v>
      </c>
      <c r="X11" s="803">
        <f>IFERROR(IF(H11="","",IF(H11-S11-T11=0&lt;0,"Error in Areas ▲",IF(S11+T11&gt;H11,"Error in Areas ▲",IF(AND(P11='G-1 All Habitats'!$X$3,Y11="Yes"),"Alternative Compensation ✓",IF(W11=0,0,IF(P11='G-1 All Habitats'!$X$3,"Any Loss Unacceptable ▲",Q11-U11-V11)))))),"Check Data ▲")</f>
        <v>1.452</v>
      </c>
      <c r="Y11" s="801"/>
      <c r="Z11" s="56"/>
      <c r="AA11" s="525"/>
      <c r="AB11" s="137"/>
      <c r="AC11" s="726" t="str">
        <f>IF(P11="","",IF(P11='G-1 All Habitats'!$X$3,H11-S11-T11,"None"))</f>
        <v>None</v>
      </c>
      <c r="AD11" s="727" t="str">
        <f>IF(P11="","", IF(P11='G-1 All Habitats'!$X$3, AC11*J11*L11*O11,"None"))</f>
        <v>None</v>
      </c>
      <c r="AF11" s="40" t="b">
        <f t="shared" ref="AF11:AF74" si="0">IF(G11="","",IF(S11&gt;0,TRUE,FALSE))</f>
        <v>0</v>
      </c>
      <c r="AG11" s="40" t="b">
        <f t="shared" ref="AG11:AG74" si="1">IF(H11="","",IF(T11&gt;0,TRUE,FALSE))</f>
        <v>0</v>
      </c>
      <c r="AH11" s="40" t="e">
        <f>IF(I11="","",IF(#REF!&gt;0,TRUE,FALSE))</f>
        <v>#REF!</v>
      </c>
      <c r="AI11" s="40">
        <v>1</v>
      </c>
      <c r="AJ11" s="40"/>
      <c r="AK11" s="40">
        <f t="array" ref="AK11">IFERROR(INDEX($AI$11:$AI$259, MATCH(0, IF(TRUE=$AF$11:$AF$259, COUNTIF($AK$10:$AK10, $AI$11:$AI$259), ""), 0)),"")</f>
        <v>2</v>
      </c>
      <c r="AL11" s="40" t="str">
        <f t="array" ref="AL11">IFERROR(INDEX($AI$11:$AI$259, MATCH(0, IF(TRUE=$AG$11:$AG$259, COUNTIF($AL$10:$AL10, $AI$11:$AI$259), ""), 0)),"")</f>
        <v/>
      </c>
      <c r="AM11" s="40" t="str">
        <f t="array" ref="AM11">IFERROR(INDEX($AI$11:$AI$259, MATCH(0, IF(TRUE=$AH$11:$AH$259, COUNTIF($AM$10:$AM10, $AI$11:$AI$259), ""), 0)),"")</f>
        <v/>
      </c>
      <c r="AN11" s="40"/>
      <c r="AQ11" s="35">
        <f>IF(X11="Unacceptable Loss",1,0)</f>
        <v>0</v>
      </c>
    </row>
    <row r="12" spans="1:43" ht="27.6" x14ac:dyDescent="0.25">
      <c r="A12" s="35" t="str">
        <f>IFERROR(INDEX('G-1 All Habitats'!$AG$3:$AG$17,MATCH(E12,'G-1 All Habitats'!$AF$3:$AF$17,0)),"")</f>
        <v>Woodland_and_forest</v>
      </c>
      <c r="B12" s="35" t="str">
        <f>IFERROR(INDEX('G-8 Condition Look up'!$I$4:$I$135,MATCH(G12,'G-8 Condition Look up'!$A$4:$A$135,0)),"")</f>
        <v>Cond5</v>
      </c>
      <c r="D12" s="287">
        <v>2</v>
      </c>
      <c r="E12" s="892" t="s">
        <v>131</v>
      </c>
      <c r="F12" s="61" t="s">
        <v>778</v>
      </c>
      <c r="G12" s="52" t="str">
        <f>IFERROR(INDEX('G-1 All Habitats'!$B$3:$B$134,MATCH(F12,'G-1 All Habitats'!$A$3:$A$134,0)),"")</f>
        <v>Woodland and forest - Felled</v>
      </c>
      <c r="H12" s="53">
        <v>0.3644</v>
      </c>
      <c r="I12" s="362" t="str">
        <f>IF(G12="","",VLOOKUP(G12,'G-1 All Habitats'!$B$2:$M$134,10,FALSE))</f>
        <v>High</v>
      </c>
      <c r="J12" s="363">
        <f>IFERROR(VLOOKUP(I12,'G-1 All Habitats'!$V$3:$W$7,2,FALSE),"")</f>
        <v>6</v>
      </c>
      <c r="K12" s="54" t="s">
        <v>68</v>
      </c>
      <c r="L12" s="363">
        <f>IFERROR(INDEX('G-8 Condition Look up'!$A$3:$H$135,MATCH(G12,'G-8 Condition Look up'!$A$3:$A$135,0),MATCH(K12,'G-8 Condition Look up'!$A$3:$H$3,0)),"")</f>
        <v>3</v>
      </c>
      <c r="M12" s="54" t="s">
        <v>1030</v>
      </c>
      <c r="N12" s="382" t="str">
        <f>IF(M12="","",IF(VLOOKUP(M12,'G-3 Multipliers'!$L$3:$N$6,2,FALSE)=0,"Spatial Data Missing",VLOOKUP(M12,'G-3 Multipliers'!$L$3:$N$6,2,FALSE)))</f>
        <v xml:space="preserve">Medium strategic significance </v>
      </c>
      <c r="O12" s="368">
        <f>IF(M12="","",IF(VLOOKUP(M12,'G-3 Multipliers'!$L$3:$N$6,3,FALSE)=0,"Spatial Data Missing ▲",VLOOKUP(M12,'G-3 Multipliers'!$L$3:$N$6,3,FALSE)))</f>
        <v>1.1000000000000001</v>
      </c>
      <c r="P12" s="369" t="str">
        <f>IFERROR(VLOOKUP(G12,'G-1 All Habitats'!$B$2:$M$134,12,FALSE),"")</f>
        <v>Same habitat required =</v>
      </c>
      <c r="Q12" s="376">
        <f>IFERROR(IF(P12="","",IF(AND(P12='G-1 All Habitats'!$X$3,T12&gt;0),U12+V12,IF(AND(P12='G-1 All Habitats'!$X$3,S12&gt;0),U12+V12,IF(AND(P12='G-1 All Habitats'!$X$3,AC12&gt;0),"Any Loss Unacceptable ⚠",IF(AND(P12='G-1 All Habitats'!$X$3,W12&gt;0),"Any Loss Unacceptable ⚠",H12*J12*L12*O12))))),"Check Data ▲")</f>
        <v>7.2151200000000006</v>
      </c>
      <c r="R12" s="38"/>
      <c r="S12" s="54">
        <v>0.1239</v>
      </c>
      <c r="T12" s="55"/>
      <c r="U12" s="374">
        <f>IFERROR(S12*J12*L12*O12,"")</f>
        <v>2.45322</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0.24049999999999999</v>
      </c>
      <c r="X12" s="378">
        <f>IFERROR(IF(H12="","",IF(H12-S12-T12=0&lt;0,"Error in Areas ▲",IF(S12+T12&gt;H12,"Error in Areas ▲",IF(AND(P12='G-1 All Habitats'!$X$3,Y12="Yes"),"Alternative Compensation ✓",IF(W12=0,0,IF(P12='G-1 All Habitats'!$X$3,"Any Loss Unacceptable ▲",Q12-U12-V12)))))),"Check Data ▲")</f>
        <v>4.7619000000000007</v>
      </c>
      <c r="Y12" s="55"/>
      <c r="Z12" s="62"/>
      <c r="AA12" s="526"/>
      <c r="AB12" s="120"/>
      <c r="AC12" s="726" t="str">
        <f>IF(P12="","",IF(P12='G-1 All Habitats'!$X$3,H12-S12-T12,"None"))</f>
        <v>None</v>
      </c>
      <c r="AD12" s="727" t="str">
        <f>IF(P12="","", IF(P12='G-1 All Habitats'!$X$3, AC12*J12*L12*O12,"None"))</f>
        <v>None</v>
      </c>
      <c r="AF12" s="40" t="b">
        <f t="shared" si="0"/>
        <v>1</v>
      </c>
      <c r="AG12" s="40" t="b">
        <f t="shared" si="1"/>
        <v>0</v>
      </c>
      <c r="AH12" s="40" t="e">
        <f>IF(I12="","",IF(#REF!&gt;0,TRUE,FALSE))</f>
        <v>#REF!</v>
      </c>
      <c r="AI12" s="40">
        <v>2</v>
      </c>
      <c r="AJ12" s="40"/>
      <c r="AK12" s="40">
        <f t="array" ref="AK12">IFERROR(INDEX($AI$11:$AI$259, MATCH(0, IF(TRUE=$AF$11:$AF$259, COUNTIF($AK$10:$AK11, $AI$11:$AI$259), ""), 0)),"")</f>
        <v>5</v>
      </c>
      <c r="AL12" s="40" t="str">
        <f t="array" ref="AL12">IFERROR(INDEX($AI$11:$AI$259, MATCH(0, IF(TRUE=$AG$11:$AG$259, COUNTIF($AL$10:$AL11, $AI$11:$AI$259), ""), 0)),"")</f>
        <v/>
      </c>
      <c r="AM12" s="40" t="str">
        <f t="array" ref="AM12">IFERROR(INDEX($AI$11:$AI$259, MATCH(0, IF(TRUE=$AH$11:$AH$259, COUNTIF($AM$10:$AM11, $AI$11:$AI$259), ""), 0)),"")</f>
        <v/>
      </c>
      <c r="AN12" s="40"/>
      <c r="AQ12" s="35">
        <f t="shared" ref="AQ12:AQ75" si="2">IF(X12="Unacceptable Loss",1,0)</f>
        <v>0</v>
      </c>
    </row>
    <row r="13" spans="1:43" ht="27.6" x14ac:dyDescent="0.25">
      <c r="A13" s="35" t="str">
        <f>IFERROR(INDEX('G-1 All Habitats'!$AG$3:$AG$17,MATCH(E13,'G-1 All Habitats'!$AF$3:$AF$17,0)),"")</f>
        <v>Urban</v>
      </c>
      <c r="B13" s="35" t="str">
        <f>IFERROR(INDEX('G-8 Condition Look up'!$I$4:$I$135,MATCH(G13,'G-8 Condition Look up'!$A$4:$A$135,0)),"")</f>
        <v>Cond1</v>
      </c>
      <c r="D13" s="287">
        <v>3</v>
      </c>
      <c r="E13" s="267" t="s">
        <v>129</v>
      </c>
      <c r="F13" s="61" t="s">
        <v>737</v>
      </c>
      <c r="G13" s="52" t="str">
        <f>IFERROR(INDEX('G-1 All Habitats'!$B$3:$B$134,MATCH(F13,'G-1 All Habitats'!$A$3:$A$134,0)),"")</f>
        <v>Urban - Vegetated garden</v>
      </c>
      <c r="H13" s="53">
        <v>9.7999999999999997E-3</v>
      </c>
      <c r="I13" s="362" t="str">
        <f>IF(G13="","",VLOOKUP(G13,'G-1 All Habitats'!$B$2:$M$134,10,FALSE))</f>
        <v>Low</v>
      </c>
      <c r="J13" s="363">
        <f>IFERROR(VLOOKUP(I13,'G-1 All Habitats'!$V$3:$W$7,2,FALSE),"")</f>
        <v>2</v>
      </c>
      <c r="K13" s="54" t="s">
        <v>492</v>
      </c>
      <c r="L13" s="363">
        <f>IFERROR(INDEX('G-8 Condition Look up'!$A$3:$H$135,MATCH(G13,'G-8 Condition Look up'!$A$3:$A$135,0),MATCH(K13,'G-8 Condition Look up'!$A$3:$H$3,0)),"")</f>
        <v>1</v>
      </c>
      <c r="M13" s="54" t="s">
        <v>1034</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distinctiveness or better habitat required ≥</v>
      </c>
      <c r="Q13" s="376">
        <f>IFERROR(IF(P13="","",IF(AND(P13='G-1 All Habitats'!$X$3,T13&gt;0),U13+V13,IF(AND(P13='G-1 All Habitats'!$X$3,S13&gt;0),U13+V13,IF(AND(P13='G-1 All Habitats'!$X$3,AC13&gt;0),"Any Loss Unacceptable ⚠",IF(AND(P13='G-1 All Habitats'!$X$3,W13&gt;0),"Any Loss Unacceptable ⚠",H13*J13*L13*O13))))),"Check Data ▲")</f>
        <v>1.9599999999999999E-2</v>
      </c>
      <c r="R13" s="38"/>
      <c r="S13" s="54"/>
      <c r="T13" s="55"/>
      <c r="U13" s="374">
        <f t="shared" ref="U13:U76" si="3">IFERROR(S13*J13*L13*O13,"")</f>
        <v>0</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9.7999999999999997E-3</v>
      </c>
      <c r="X13" s="378">
        <f>IFERROR(IF(H13="","",IF(H13-S13-T13=0&lt;0,"Error in Areas ▲",IF(S13+T13&gt;H13,"Error in Areas ▲",IF(AND(P13='G-1 All Habitats'!$X$3,Y13="Yes"),"Alternative Compensation ✓",IF(W13=0,0,IF(P13='G-1 All Habitats'!$X$3,"Any Loss Unacceptable ▲",Q13-U13-V13)))))),"Check Data ▲")</f>
        <v>1.9599999999999999E-2</v>
      </c>
      <c r="Y13" s="55"/>
      <c r="Z13" s="62"/>
      <c r="AA13" s="526"/>
      <c r="AB13" s="120"/>
      <c r="AC13" s="726" t="str">
        <f>IF(P13="","",IF(P13='G-1 All Habitats'!$X$3,H13-S13-T13,"None"))</f>
        <v>None</v>
      </c>
      <c r="AD13" s="727" t="str">
        <f>IF(P13="","", IF(P13='G-1 All Habitats'!$X$3, AC13*J13*L13*O13,"None"))</f>
        <v>None</v>
      </c>
      <c r="AF13" s="40" t="b">
        <f t="shared" si="0"/>
        <v>0</v>
      </c>
      <c r="AG13" s="40" t="b">
        <f t="shared" si="1"/>
        <v>0</v>
      </c>
      <c r="AH13" s="40" t="e">
        <f>IF(I13="","",IF(#REF!&gt;0,TRUE,FALSE))</f>
        <v>#REF!</v>
      </c>
      <c r="AI13" s="40">
        <v>3</v>
      </c>
      <c r="AJ13" s="40"/>
      <c r="AK13" s="40" t="str">
        <f t="array" ref="AK13">IFERROR(INDEX($AI$11:$AI$259, MATCH(0, IF(TRUE=$AF$11:$AF$259, COUNTIF($AK$10:$AK12, $AI$11:$AI$259), ""), 0)),"")</f>
        <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27.6" x14ac:dyDescent="0.25">
      <c r="A14" s="35" t="str">
        <f>IFERROR(INDEX('G-1 All Habitats'!$AG$3:$AG$17,MATCH(E14,'G-1 All Habitats'!$AF$3:$AF$17,0)),"")</f>
        <v>Urban</v>
      </c>
      <c r="B14" s="35" t="str">
        <f>IFERROR(INDEX('G-8 Condition Look up'!$I$4:$I$135,MATCH(G14,'G-8 Condition Look up'!$A$4:$A$135,0)),"")</f>
        <v>Cond2</v>
      </c>
      <c r="D14" s="287">
        <v>4</v>
      </c>
      <c r="E14" s="267" t="s">
        <v>129</v>
      </c>
      <c r="F14" s="61" t="s">
        <v>696</v>
      </c>
      <c r="G14" s="52" t="str">
        <f>IFERROR(INDEX('G-1 All Habitats'!$B$3:$B$134,MATCH(F14,'G-1 All Habitats'!$A$3:$A$134,0)),"")</f>
        <v>Urban - Developed land; sealed surface</v>
      </c>
      <c r="H14" s="53">
        <v>3.8800000000000001E-2</v>
      </c>
      <c r="I14" s="362" t="str">
        <f>IF(G14="","",VLOOKUP(G14,'G-1 All Habitats'!$B$2:$M$134,10,FALSE))</f>
        <v>V.Low</v>
      </c>
      <c r="J14" s="363">
        <f>IFERROR(VLOOKUP(I14,'G-1 All Habitats'!$V$3:$W$7,2,FALSE),"")</f>
        <v>0</v>
      </c>
      <c r="K14" s="54" t="s">
        <v>496</v>
      </c>
      <c r="L14" s="363">
        <f>IFERROR(INDEX('G-8 Condition Look up'!$A$3:$H$135,MATCH(G14,'G-8 Condition Look up'!$A$3:$A$135,0),MATCH(K14,'G-8 Condition Look up'!$A$3:$H$3,0)),"")</f>
        <v>0</v>
      </c>
      <c r="M14" s="54" t="s">
        <v>1034</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Compensation Not Required</v>
      </c>
      <c r="Q14" s="376">
        <f>IFERROR(IF(P14="","",IF(AND(P14='G-1 All Habitats'!$X$3,T14&gt;0),U14+V14,IF(AND(P14='G-1 All Habitats'!$X$3,S14&gt;0),U14+V14,IF(AND(P14='G-1 All Habitats'!$X$3,AC14&gt;0),"Any Loss Unacceptable ⚠",IF(AND(P14='G-1 All Habitats'!$X$3,W14&gt;0),"Any Loss Unacceptable ⚠",H14*J14*L14*O14))))),"Check Data ▲")</f>
        <v>0</v>
      </c>
      <c r="R14" s="38"/>
      <c r="S14" s="54"/>
      <c r="T14" s="55"/>
      <c r="U14" s="374">
        <f t="shared" si="3"/>
        <v>0</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3.8800000000000001E-2</v>
      </c>
      <c r="X14" s="378">
        <f>IFERROR(IF(H14="","",IF(H14-S14-T14=0&lt;0,"Error in Areas ▲",IF(S14+T14&gt;H14,"Error in Areas ▲",IF(AND(P14='G-1 All Habitats'!$X$3,Y14="Yes"),"Alternative Compensation ✓",IF(W14=0,0,IF(P14='G-1 All Habitats'!$X$3,"Any Loss Unacceptable ▲",Q14-U14-V14)))))),"Check Data ▲")</f>
        <v>0</v>
      </c>
      <c r="Y14" s="55"/>
      <c r="Z14" s="62"/>
      <c r="AA14" s="526"/>
      <c r="AB14" s="120"/>
      <c r="AC14" s="726" t="str">
        <f>IF(P14="","",IF(P14='G-1 All Habitats'!$X$3,H14-S14-T14,"None"))</f>
        <v>None</v>
      </c>
      <c r="AD14" s="727" t="str">
        <f>IF(P14="","", IF(P14='G-1 All Habitats'!$X$3, AC14*J14*L14*O14,"None"))</f>
        <v>None</v>
      </c>
      <c r="AF14" s="40" t="b">
        <f t="shared" si="0"/>
        <v>0</v>
      </c>
      <c r="AG14" s="40" t="b">
        <f t="shared" si="1"/>
        <v>0</v>
      </c>
      <c r="AH14" s="40" t="e">
        <f>IF(I14="","",IF(#REF!&gt;0,TRUE,FALSE))</f>
        <v>#REF!</v>
      </c>
      <c r="AI14" s="40">
        <v>4</v>
      </c>
      <c r="AJ14" s="40"/>
      <c r="AK14" s="40" t="str">
        <f t="array" ref="AK14">IFERROR(INDEX($AI$11:$AI$259, MATCH(0, IF(TRUE=$AF$11:$AF$259, COUNTIF($AK$10:$AK13, $AI$11:$AI$259), ""), 0)),"")</f>
        <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ht="27.6" x14ac:dyDescent="0.25">
      <c r="A15" s="35" t="str">
        <f>IFERROR(INDEX('G-1 All Habitats'!$AG$3:$AG$17,MATCH(E15,'G-1 All Habitats'!$AF$3:$AF$17,0)),"")</f>
        <v>Lakes</v>
      </c>
      <c r="B15" s="35" t="str">
        <f>IFERROR(INDEX('G-8 Condition Look up'!$I$4:$I$135,MATCH(G15,'G-8 Condition Look up'!$A$4:$A$135,0)),"")</f>
        <v>Cond4</v>
      </c>
      <c r="D15" s="287">
        <v>5</v>
      </c>
      <c r="E15" s="267" t="s">
        <v>127</v>
      </c>
      <c r="F15" s="61" t="s">
        <v>617</v>
      </c>
      <c r="G15" s="52" t="str">
        <f>IFERROR(INDEX('G-1 All Habitats'!$B$3:$B$134,MATCH(F15,'G-1 All Habitats'!$A$3:$A$134,0)),"")</f>
        <v>Lakes - Ornamental lake or pond</v>
      </c>
      <c r="H15" s="53">
        <v>4.4999999999999997E-3</v>
      </c>
      <c r="I15" s="362" t="str">
        <f>IF(G15="","",VLOOKUP(G15,'G-1 All Habitats'!$B$2:$M$134,10,FALSE))</f>
        <v>Low</v>
      </c>
      <c r="J15" s="363">
        <f>IFERROR(VLOOKUP(I15,'G-1 All Habitats'!$V$3:$W$7,2,FALSE),"")</f>
        <v>2</v>
      </c>
      <c r="K15" s="54" t="s">
        <v>328</v>
      </c>
      <c r="L15" s="363">
        <f>IFERROR(INDEX('G-8 Condition Look up'!$A$3:$H$135,MATCH(G15,'G-8 Condition Look up'!$A$3:$A$135,0),MATCH(K15,'G-8 Condition Look up'!$A$3:$H$3,0)),"")</f>
        <v>1</v>
      </c>
      <c r="M15" s="54" t="s">
        <v>1034</v>
      </c>
      <c r="N15" s="382" t="str">
        <f>IF(M15="","",IF(VLOOKUP(M15,'G-3 Multipliers'!$L$3:$N$6,2,FALSE)=0,"Spatial Data Missing",VLOOKUP(M15,'G-3 Multipliers'!$L$3:$N$6,2,FALSE)))</f>
        <v>Low Strategic Significance</v>
      </c>
      <c r="O15" s="368">
        <f>IF(M15="","",IF(VLOOKUP(M15,'G-3 Multipliers'!$L$3:$N$6,3,FALSE)=0,"Spatial Data Missing ▲",VLOOKUP(M15,'G-3 Multipliers'!$L$3:$N$6,3,FALSE)))</f>
        <v>1</v>
      </c>
      <c r="P15" s="369" t="str">
        <f>IFERROR(VLOOKUP(G15,'G-1 All Habitats'!$B$2:$M$134,12,FALSE),"")</f>
        <v>Same distinctiveness or better habitat required ≥</v>
      </c>
      <c r="Q15" s="376">
        <f>IFERROR(IF(P15="","",IF(AND(P15='G-1 All Habitats'!$X$3,T15&gt;0),U15+V15,IF(AND(P15='G-1 All Habitats'!$X$3,S15&gt;0),U15+V15,IF(AND(P15='G-1 All Habitats'!$X$3,AC15&gt;0),"Any Loss Unacceptable ⚠",IF(AND(P15='G-1 All Habitats'!$X$3,W15&gt;0),"Any Loss Unacceptable ⚠",H15*J15*L15*O15))))),"Check Data ▲")</f>
        <v>8.9999999999999993E-3</v>
      </c>
      <c r="R15" s="38"/>
      <c r="S15" s="54">
        <v>4.4999999999999997E-3</v>
      </c>
      <c r="T15" s="55"/>
      <c r="U15" s="374">
        <f t="shared" si="3"/>
        <v>8.9999999999999993E-3</v>
      </c>
      <c r="V15" s="374">
        <f t="shared" si="4"/>
        <v>0</v>
      </c>
      <c r="W15" s="374">
        <f>IF(E15="","",IF(H15&lt;S15+T15,"Error in Areas ▲",IF(P15&lt;&gt;'G-1 All Habitats'!$X$3,H15-S15-T15,IF(AND(P15='G-1 All Habitats'!$X$3,Y15="Yes"),"Unacceptable Loss ⚠",IF(AND(P15='G-1 All Habitats'!$X$3,Y15="No"),AC15,IF(AND(P15='G-1 All Habitats'!$X$3,Y15=""),AC15,IF(AND(P15='G-1 All Habitats'!$X$3,AC15="None",AC15),IF(AND(P15='G-1 All Habitats'!$X$3,AC15&gt;0),H15-S15-T15))))))))</f>
        <v>0</v>
      </c>
      <c r="X15" s="378">
        <f>IFERROR(IF(H15="","",IF(H15-S15-T15=0&lt;0,"Error in Areas ▲",IF(S15+T15&gt;H15,"Error in Areas ▲",IF(AND(P15='G-1 All Habitats'!$X$3,Y15="Yes"),"Alternative Compensation ✓",IF(W15=0,0,IF(P15='G-1 All Habitats'!$X$3,"Any Loss Unacceptable ▲",Q15-U15-V15)))))),"Check Data ▲")</f>
        <v>0</v>
      </c>
      <c r="Y15" s="55"/>
      <c r="Z15" s="62"/>
      <c r="AA15" s="526"/>
      <c r="AB15" s="120"/>
      <c r="AC15" s="726" t="str">
        <f>IF(P15="","",IF(P15='G-1 All Habitats'!$X$3,H15-S15-T15,"None"))</f>
        <v>None</v>
      </c>
      <c r="AD15" s="727" t="str">
        <f>IF(P15="","", IF(P15='G-1 All Habitats'!$X$3, AC15*J15*L15*O15,"None"))</f>
        <v>None</v>
      </c>
      <c r="AF15" s="40" t="b">
        <f t="shared" si="0"/>
        <v>1</v>
      </c>
      <c r="AG15" s="40" t="b">
        <f t="shared" si="1"/>
        <v>0</v>
      </c>
      <c r="AH15" s="40" t="e">
        <f>IF(I15="","",IF(#REF!&gt;0,TRUE,FALSE))</f>
        <v>#REF!</v>
      </c>
      <c r="AI15" s="40">
        <v>5</v>
      </c>
      <c r="AJ15" s="40"/>
      <c r="AK15" s="40" t="str">
        <f t="array" ref="AK15">IFERROR(INDEX($AI$11:$AI$259, MATCH(0, IF(TRUE=$AF$11:$AF$259, COUNTIF($AK$10:$AK14, $AI$11:$AI$259), ""), 0)),"")</f>
        <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x14ac:dyDescent="0.25">
      <c r="A16" s="35" t="str">
        <f>IFERROR(INDEX('G-1 All Habitats'!$AG$3:$AG$17,MATCH(E16,'G-1 All Habitats'!$AF$3:$AF$17,0)),"")</f>
        <v/>
      </c>
      <c r="B16" s="35" t="str">
        <f>IFERROR(INDEX('G-8 Condition Look up'!$I$4:$I$135,MATCH(G16,'G-8 Condition Look up'!$A$4:$A$135,0)),"")</f>
        <v/>
      </c>
      <c r="D16" s="287">
        <v>6</v>
      </c>
      <c r="E16" s="267"/>
      <c r="F16" s="61"/>
      <c r="G16" s="52" t="str">
        <f>IFERROR(INDEX('G-1 All Habitats'!$B$3:$B$134,MATCH(F16,'G-1 All Habitats'!$A$3:$A$134,0)),"")</f>
        <v/>
      </c>
      <c r="H16" s="53"/>
      <c r="I16" s="362" t="str">
        <f>IF(G16="","",VLOOKUP(G16,'G-1 All Habitats'!$B$2:$M$134,10,FALSE))</f>
        <v/>
      </c>
      <c r="J16" s="363" t="str">
        <f>IFERROR(VLOOKUP(I16,'G-1 All Habitats'!$V$3:$W$7,2,FALSE),"")</f>
        <v/>
      </c>
      <c r="K16" s="54"/>
      <c r="L16" s="363" t="str">
        <f>IFERROR(INDEX('G-8 Condition Look up'!$A$3:$H$135,MATCH(G16,'G-8 Condition Look up'!$A$3:$A$135,0),MATCH(K16,'G-8 Condition Look up'!$A$3:$H$3,0)),"")</f>
        <v/>
      </c>
      <c r="M16" s="54"/>
      <c r="N16" s="382" t="str">
        <f>IF(M16="","",IF(VLOOKUP(M16,'G-3 Multipliers'!$L$3:$N$6,2,FALSE)=0,"Spatial Data Missing",VLOOKUP(M16,'G-3 Multipliers'!$L$3:$N$6,2,FALSE)))</f>
        <v/>
      </c>
      <c r="O16" s="368" t="str">
        <f>IF(M16="","",IF(VLOOKUP(M16,'G-3 Multipliers'!$L$3:$N$6,3,FALSE)=0,"Spatial Data Missing ▲",VLOOKUP(M16,'G-3 Multipliers'!$L$3:$N$6,3,FALSE)))</f>
        <v/>
      </c>
      <c r="P16" s="369" t="str">
        <f>IFERROR(VLOOKUP(G16,'G-1 All Habitats'!$B$2:$M$134,12,FALSE),"")</f>
        <v/>
      </c>
      <c r="Q16" s="376" t="str">
        <f>IFERROR(IF(P16="","",IF(AND(P16='G-1 All Habitats'!$X$3,T16&gt;0),U16+V16,IF(AND(P16='G-1 All Habitats'!$X$3,S16&gt;0),U16+V16,IF(AND(P16='G-1 All Habitats'!$X$3,AC16&gt;0),"Any Loss Unacceptable ⚠",IF(AND(P16='G-1 All Habitats'!$X$3,W16&gt;0),"Any Loss Unacceptable ⚠",H16*J16*L16*O16))))),"Check Data ▲")</f>
        <v/>
      </c>
      <c r="R16" s="38"/>
      <c r="S16" s="54"/>
      <c r="T16" s="55"/>
      <c r="U16" s="374" t="str">
        <f t="shared" si="3"/>
        <v/>
      </c>
      <c r="V16" s="374" t="str">
        <f t="shared" si="4"/>
        <v/>
      </c>
      <c r="W16" s="374"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378" t="str">
        <f>IFERROR(IF(H16="","",IF(H16-S16-T16=0&lt;0,"Error in Areas ▲",IF(S16+T16&gt;H16,"Error in Areas ▲",IF(AND(P16='G-1 All Habitats'!$X$3,Y16="Yes"),"Alternative Compensation ✓",IF(W16=0,0,IF(P16='G-1 All Habitats'!$X$3,"Any Loss Unacceptable ▲",Q16-U16-V16)))))),"Check Data ▲")</f>
        <v/>
      </c>
      <c r="Y16" s="55"/>
      <c r="Z16" s="62"/>
      <c r="AA16" s="526"/>
      <c r="AB16" s="120"/>
      <c r="AC16" s="726" t="str">
        <f>IF(P16="","",IF(P16='G-1 All Habitats'!$X$3,H16-S16-T16,"None"))</f>
        <v/>
      </c>
      <c r="AD16" s="727" t="str">
        <f>IF(P16="","", IF(P16='G-1 All Habitats'!$X$3, AC16*J16*L16*O16,"None"))</f>
        <v/>
      </c>
      <c r="AF16" s="40" t="str">
        <f t="shared" si="0"/>
        <v/>
      </c>
      <c r="AG16" s="40" t="str">
        <f t="shared" si="1"/>
        <v/>
      </c>
      <c r="AH16" s="40" t="str">
        <f>IF(I16="","",IF(#REF!&gt;0,TRUE,FALSE))</f>
        <v/>
      </c>
      <c r="AI16" s="40">
        <v>6</v>
      </c>
      <c r="AJ16" s="40"/>
      <c r="AK16" s="40" t="str">
        <f t="array" ref="AK16">IFERROR(INDEX($AI$11:$AI$259, MATCH(0, IF(TRUE=$AF$11:$AF$259, COUNTIF($AK$10:$AK15, $AI$11:$AI$259), ""), 0)),"")</f>
        <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x14ac:dyDescent="0.25">
      <c r="A17" s="35" t="str">
        <f>IFERROR(INDEX('G-1 All Habitats'!$AG$3:$AG$17,MATCH(E17,'G-1 All Habitats'!$AF$3:$AF$17,0)),"")</f>
        <v/>
      </c>
      <c r="B17" s="35" t="str">
        <f>IFERROR(INDEX('G-8 Condition Look up'!$I$4:$I$135,MATCH(G17,'G-8 Condition Look up'!$A$4:$A$135,0)),"")</f>
        <v/>
      </c>
      <c r="D17" s="287">
        <v>7</v>
      </c>
      <c r="E17" s="267"/>
      <c r="F17" s="61"/>
      <c r="G17" s="52" t="str">
        <f>IFERROR(INDEX('G-1 All Habitats'!$B$3:$B$134,MATCH(F17,'G-1 All Habitats'!$A$3:$A$134,0)),"")</f>
        <v/>
      </c>
      <c r="H17" s="53"/>
      <c r="I17" s="362" t="str">
        <f>IF(G17="","",VLOOKUP(G17,'G-1 All Habitats'!$B$2:$M$134,10,FALSE))</f>
        <v/>
      </c>
      <c r="J17" s="363" t="str">
        <f>IFERROR(VLOOKUP(I17,'G-1 All Habitats'!$V$3:$W$7,2,FALSE),"")</f>
        <v/>
      </c>
      <c r="K17" s="54"/>
      <c r="L17" s="363" t="str">
        <f>IFERROR(INDEX('G-8 Condition Look up'!$A$3:$H$135,MATCH(G17,'G-8 Condition Look up'!$A$3:$A$135,0),MATCH(K17,'G-8 Condition Look up'!$A$3:$H$3,0)),"")</f>
        <v/>
      </c>
      <c r="M17" s="54"/>
      <c r="N17" s="382" t="str">
        <f>IF(M17="","",IF(VLOOKUP(M17,'G-3 Multipliers'!$L$3:$N$6,2,FALSE)=0,"Spatial Data Missing",VLOOKUP(M17,'G-3 Multipliers'!$L$3:$N$6,2,FALSE)))</f>
        <v/>
      </c>
      <c r="O17" s="368" t="str">
        <f>IF(M17="","",IF(VLOOKUP(M17,'G-3 Multipliers'!$L$3:$N$6,3,FALSE)=0,"Spatial Data Missing ▲",VLOOKUP(M17,'G-3 Multipliers'!$L$3:$N$6,3,FALSE)))</f>
        <v/>
      </c>
      <c r="P17" s="369" t="str">
        <f>IFERROR(VLOOKUP(G17,'G-1 All Habitats'!$B$2:$M$134,12,FALSE),"")</f>
        <v/>
      </c>
      <c r="Q17" s="376" t="str">
        <f>IFERROR(IF(P17="","",IF(AND(P17='G-1 All Habitats'!$X$3,T17&gt;0),U17+V17,IF(AND(P17='G-1 All Habitats'!$X$3,S17&gt;0),U17+V17,IF(AND(P17='G-1 All Habitats'!$X$3,AC17&gt;0),"Any Loss Unacceptable ⚠",IF(AND(P17='G-1 All Habitats'!$X$3,W17&gt;0),"Any Loss Unacceptable ⚠",H17*J17*L17*O17))))),"Check Data ▲")</f>
        <v/>
      </c>
      <c r="R17" s="38"/>
      <c r="S17" s="54"/>
      <c r="T17" s="55"/>
      <c r="U17" s="374" t="str">
        <f t="shared" si="3"/>
        <v/>
      </c>
      <c r="V17" s="374" t="str">
        <f t="shared" si="4"/>
        <v/>
      </c>
      <c r="W17" s="374"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378" t="str">
        <f>IFERROR(IF(H17="","",IF(H17-S17-T17=0&lt;0,"Error in Areas ▲",IF(S17+T17&gt;H17,"Error in Areas ▲",IF(AND(P17='G-1 All Habitats'!$X$3,Y17="Yes"),"Alternative Compensation ✓",IF(W17=0,0,IF(P17='G-1 All Habitats'!$X$3,"Any Loss Unacceptable ▲",Q17-U17-V17)))))),"Check Data ▲")</f>
        <v/>
      </c>
      <c r="Y17" s="55"/>
      <c r="Z17" s="62"/>
      <c r="AA17" s="526"/>
      <c r="AB17" s="120"/>
      <c r="AC17" s="726" t="str">
        <f>IF(P17="","",IF(P17='G-1 All Habitats'!$X$3,H17-S17-T17,"None"))</f>
        <v/>
      </c>
      <c r="AD17" s="727" t="str">
        <f>IF(P17="","", IF(P17='G-1 All Habitats'!$X$3, AC17*J17*L17*O17,"None"))</f>
        <v/>
      </c>
      <c r="AF17" s="40" t="str">
        <f t="shared" si="0"/>
        <v/>
      </c>
      <c r="AG17" s="40" t="str">
        <f t="shared" si="1"/>
        <v/>
      </c>
      <c r="AH17" s="40" t="str">
        <f>IF(I17="","",IF(#REF!&gt;0,TRUE,FALSE))</f>
        <v/>
      </c>
      <c r="AI17" s="40">
        <v>7</v>
      </c>
      <c r="AJ17" s="40"/>
      <c r="AK17" s="40" t="str">
        <f t="array" ref="AK17">IFERROR(INDEX($AI$11:$AI$259, MATCH(0, IF(TRUE=$AF$11:$AF$259, COUNTIF($AK$10:$AK16, $AI$11:$AI$259), ""), 0)),"")</f>
        <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x14ac:dyDescent="0.25">
      <c r="A18" s="35" t="str">
        <f>IFERROR(INDEX('G-1 All Habitats'!$AG$3:$AG$17,MATCH(E18,'G-1 All Habitats'!$AF$3:$AF$17,0)),"")</f>
        <v/>
      </c>
      <c r="B18" s="35" t="str">
        <f>IFERROR(INDEX('G-8 Condition Look up'!$I$4:$I$135,MATCH(G18,'G-8 Condition Look up'!$A$4:$A$135,0)),"")</f>
        <v/>
      </c>
      <c r="D18" s="287">
        <v>8</v>
      </c>
      <c r="E18" s="267"/>
      <c r="F18" s="61"/>
      <c r="G18" s="52" t="str">
        <f>IFERROR(INDEX('G-1 All Habitats'!$B$3:$B$134,MATCH(F18,'G-1 All Habitats'!$A$3:$A$134,0)),"")</f>
        <v/>
      </c>
      <c r="H18" s="53"/>
      <c r="I18" s="362" t="str">
        <f>IF(G18="","",VLOOKUP(G18,'G-1 All Habitats'!$B$2:$M$134,10,FALSE))</f>
        <v/>
      </c>
      <c r="J18" s="363" t="str">
        <f>IFERROR(VLOOKUP(I18,'G-1 All Habitats'!$V$3:$W$7,2,FALSE),"")</f>
        <v/>
      </c>
      <c r="K18" s="54"/>
      <c r="L18" s="363" t="str">
        <f>IFERROR(INDEX('G-8 Condition Look up'!$A$3:$H$135,MATCH(G18,'G-8 Condition Look up'!$A$3:$A$135,0),MATCH(K18,'G-8 Condition Look up'!$A$3:$H$3,0)),"")</f>
        <v/>
      </c>
      <c r="M18" s="54"/>
      <c r="N18" s="382" t="str">
        <f>IF(M18="","",IF(VLOOKUP(M18,'G-3 Multipliers'!$L$3:$N$6,2,FALSE)=0,"Spatial Data Missing",VLOOKUP(M18,'G-3 Multipliers'!$L$3:$N$6,2,FALSE)))</f>
        <v/>
      </c>
      <c r="O18" s="368" t="str">
        <f>IF(M18="","",IF(VLOOKUP(M18,'G-3 Multipliers'!$L$3:$N$6,3,FALSE)=0,"Spatial Data Missing ▲",VLOOKUP(M18,'G-3 Multipliers'!$L$3:$N$6,3,FALSE)))</f>
        <v/>
      </c>
      <c r="P18" s="369" t="str">
        <f>IFERROR(VLOOKUP(G18,'G-1 All Habitats'!$B$2:$M$134,12,FALSE),"")</f>
        <v/>
      </c>
      <c r="Q18" s="376" t="str">
        <f>IFERROR(IF(P18="","",IF(AND(P18='G-1 All Habitats'!$X$3,T18&gt;0),U18+V18,IF(AND(P18='G-1 All Habitats'!$X$3,S18&gt;0),U18+V18,IF(AND(P18='G-1 All Habitats'!$X$3,AC18&gt;0),"Any Loss Unacceptable ⚠",IF(AND(P18='G-1 All Habitats'!$X$3,W18&gt;0),"Any Loss Unacceptable ⚠",H18*J18*L18*O18))))),"Check Data ▲")</f>
        <v/>
      </c>
      <c r="R18" s="38"/>
      <c r="S18" s="54"/>
      <c r="T18" s="55"/>
      <c r="U18" s="374" t="str">
        <f t="shared" si="3"/>
        <v/>
      </c>
      <c r="V18" s="374" t="str">
        <f t="shared" si="4"/>
        <v/>
      </c>
      <c r="W18" s="374"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378" t="str">
        <f>IFERROR(IF(H18="","",IF(H18-S18-T18=0&lt;0,"Error in Areas ▲",IF(S18+T18&gt;H18,"Error in Areas ▲",IF(AND(P18='G-1 All Habitats'!$X$3,Y18="Yes"),"Alternative Compensation ✓",IF(W18=0,0,IF(P18='G-1 All Habitats'!$X$3,"Any Loss Unacceptable ▲",Q18-U18-V18)))))),"Check Data ▲")</f>
        <v/>
      </c>
      <c r="Y18" s="55"/>
      <c r="Z18" s="62"/>
      <c r="AA18" s="526"/>
      <c r="AB18" s="120"/>
      <c r="AC18" s="726" t="str">
        <f>IF(P18="","",IF(P18='G-1 All Habitats'!$X$3,H18-S18-T18,"None"))</f>
        <v/>
      </c>
      <c r="AD18" s="727" t="str">
        <f>IF(P18="","", IF(P18='G-1 All Habitats'!$X$3, AC18*J18*L18*O18,"None"))</f>
        <v/>
      </c>
      <c r="AF18" s="40" t="str">
        <f t="shared" si="0"/>
        <v/>
      </c>
      <c r="AG18" s="40" t="str">
        <f t="shared" si="1"/>
        <v/>
      </c>
      <c r="AH18" s="40" t="str">
        <f>IF(I18="","",IF(#REF!&gt;0,TRUE,FALSE))</f>
        <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x14ac:dyDescent="0.25">
      <c r="A19" s="35" t="str">
        <f>IFERROR(INDEX('G-1 All Habitats'!$AG$3:$AG$17,MATCH(E19,'G-1 All Habitats'!$AF$3:$AF$17,0)),"")</f>
        <v/>
      </c>
      <c r="B19" s="35" t="str">
        <f>IFERROR(INDEX('G-8 Condition Look up'!$I$4:$I$135,MATCH(G19,'G-8 Condition Look up'!$A$4:$A$135,0)),"")</f>
        <v/>
      </c>
      <c r="D19" s="287">
        <v>9</v>
      </c>
      <c r="E19" s="267"/>
      <c r="F19" s="61"/>
      <c r="G19" s="52" t="str">
        <f>IFERROR(INDEX('G-1 All Habitats'!$B$3:$B$134,MATCH(F19,'G-1 All Habitats'!$A$3:$A$134,0)),"")</f>
        <v/>
      </c>
      <c r="H19" s="53"/>
      <c r="I19" s="362" t="str">
        <f>IF(G19="","",VLOOKUP(G19,'G-1 All Habitats'!$B$2:$M$134,10,FALSE))</f>
        <v/>
      </c>
      <c r="J19" s="363" t="str">
        <f>IFERROR(VLOOKUP(I19,'G-1 All Habitats'!$V$3:$W$7,2,FALSE),"")</f>
        <v/>
      </c>
      <c r="K19" s="54"/>
      <c r="L19" s="363" t="str">
        <f>IFERROR(INDEX('G-8 Condition Look up'!$A$3:$H$135,MATCH(G19,'G-8 Condition Look up'!$A$3:$A$135,0),MATCH(K19,'G-8 Condition Look up'!$A$3:$H$3,0)),"")</f>
        <v/>
      </c>
      <c r="M19" s="54"/>
      <c r="N19" s="382" t="str">
        <f>IF(M19="","",IF(VLOOKUP(M19,'G-3 Multipliers'!$L$3:$N$6,2,FALSE)=0,"Spatial Data Missing",VLOOKUP(M19,'G-3 Multipliers'!$L$3:$N$6,2,FALSE)))</f>
        <v/>
      </c>
      <c r="O19" s="368" t="str">
        <f>IF(M19="","",IF(VLOOKUP(M19,'G-3 Multipliers'!$L$3:$N$6,3,FALSE)=0,"Spatial Data Missing ▲",VLOOKUP(M19,'G-3 Multipliers'!$L$3:$N$6,3,FALSE)))</f>
        <v/>
      </c>
      <c r="P19" s="369" t="str">
        <f>IFERROR(VLOOKUP(G19,'G-1 All Habitats'!$B$2:$M$134,12,FALSE),"")</f>
        <v/>
      </c>
      <c r="Q19" s="376" t="str">
        <f>IFERROR(IF(P19="","",IF(AND(P19='G-1 All Habitats'!$X$3,T19&gt;0),U19+V19,IF(AND(P19='G-1 All Habitats'!$X$3,S19&gt;0),U19+V19,IF(AND(P19='G-1 All Habitats'!$X$3,AC19&gt;0),"Any Loss Unacceptable ⚠",IF(AND(P19='G-1 All Habitats'!$X$3,W19&gt;0),"Any Loss Unacceptable ⚠",H19*J19*L19*O19))))),"Check Data ▲")</f>
        <v/>
      </c>
      <c r="R19" s="38"/>
      <c r="S19" s="54"/>
      <c r="T19" s="55"/>
      <c r="U19" s="374" t="str">
        <f t="shared" si="3"/>
        <v/>
      </c>
      <c r="V19" s="374" t="str">
        <f t="shared" si="4"/>
        <v/>
      </c>
      <c r="W19" s="374"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378" t="str">
        <f>IFERROR(IF(H19="","",IF(H19-S19-T19=0&lt;0,"Error in Areas ▲",IF(S19+T19&gt;H19,"Error in Areas ▲",IF(AND(P19='G-1 All Habitats'!$X$3,Y19="Yes"),"Alternative Compensation ✓",IF(W19=0,0,IF(P19='G-1 All Habitats'!$X$3,"Any Loss Unacceptable ▲",Q19-U19-V19)))))),"Check Data ▲")</f>
        <v/>
      </c>
      <c r="Y19" s="55"/>
      <c r="Z19" s="62"/>
      <c r="AA19" s="526"/>
      <c r="AB19" s="120"/>
      <c r="AC19" s="726" t="str">
        <f>IF(P19="","",IF(P19='G-1 All Habitats'!$X$3,H19-S19-T19,"None"))</f>
        <v/>
      </c>
      <c r="AD19" s="727" t="str">
        <f>IF(P19="","", IF(P19='G-1 All Habitats'!$X$3, AC19*J19*L19*O19,"None"))</f>
        <v/>
      </c>
      <c r="AF19" s="40" t="str">
        <f t="shared" si="0"/>
        <v/>
      </c>
      <c r="AG19" s="40" t="str">
        <f t="shared" si="1"/>
        <v/>
      </c>
      <c r="AH19" s="40" t="str">
        <f>IF(I19="","",IF(#REF!&gt;0,TRUE,FALSE))</f>
        <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x14ac:dyDescent="0.25">
      <c r="A20" s="35" t="str">
        <f>IFERROR(INDEX('G-1 All Habitats'!$AG$3:$AG$17,MATCH(E20,'G-1 All Habitats'!$AF$3:$AF$17,0)),"")</f>
        <v/>
      </c>
      <c r="B20" s="35" t="str">
        <f>IFERROR(INDEX('G-8 Condition Look up'!$I$4:$I$135,MATCH(G20,'G-8 Condition Look up'!$A$4:$A$135,0)),"")</f>
        <v/>
      </c>
      <c r="D20" s="287">
        <v>10</v>
      </c>
      <c r="E20" s="267"/>
      <c r="F20" s="61"/>
      <c r="G20" s="52" t="str">
        <f>IFERROR(INDEX('G-1 All Habitats'!$B$3:$B$134,MATCH(F20,'G-1 All Habitats'!$A$3:$A$134,0)),"")</f>
        <v/>
      </c>
      <c r="H20" s="53"/>
      <c r="I20" s="362" t="str">
        <f>IF(G20="","",VLOOKUP(G20,'G-1 All Habitats'!$B$2:$M$134,10,FALSE))</f>
        <v/>
      </c>
      <c r="J20" s="363" t="str">
        <f>IFERROR(VLOOKUP(I20,'G-1 All Habitats'!$V$3:$W$7,2,FALSE),"")</f>
        <v/>
      </c>
      <c r="K20" s="54"/>
      <c r="L20" s="363" t="str">
        <f>IFERROR(INDEX('G-8 Condition Look up'!$A$3:$H$135,MATCH(G20,'G-8 Condition Look up'!$A$3:$A$135,0),MATCH(K20,'G-8 Condition Look up'!$A$3:$H$3,0)),"")</f>
        <v/>
      </c>
      <c r="M20" s="54"/>
      <c r="N20" s="382" t="str">
        <f>IF(M20="","",IF(VLOOKUP(M20,'G-3 Multipliers'!$L$3:$N$6,2,FALSE)=0,"Spatial Data Missing",VLOOKUP(M20,'G-3 Multipliers'!$L$3:$N$6,2,FALSE)))</f>
        <v/>
      </c>
      <c r="O20" s="368" t="str">
        <f>IF(M20="","",IF(VLOOKUP(M20,'G-3 Multipliers'!$L$3:$N$6,3,FALSE)=0,"Spatial Data Missing ▲",VLOOKUP(M20,'G-3 Multipliers'!$L$3:$N$6,3,FALSE)))</f>
        <v/>
      </c>
      <c r="P20" s="369" t="str">
        <f>IFERROR(VLOOKUP(G20,'G-1 All Habitats'!$B$2:$M$134,12,FALSE),"")</f>
        <v/>
      </c>
      <c r="Q20" s="376" t="str">
        <f>IFERROR(IF(P20="","",IF(AND(P20='G-1 All Habitats'!$X$3,T20&gt;0),U20+V20,IF(AND(P20='G-1 All Habitats'!$X$3,S20&gt;0),U20+V20,IF(AND(P20='G-1 All Habitats'!$X$3,AC20&gt;0),"Any Loss Unacceptable ⚠",IF(AND(P20='G-1 All Habitats'!$X$3,W20&gt;0),"Any Loss Unacceptable ⚠",H20*J20*L20*O20))))),"Check Data ▲")</f>
        <v/>
      </c>
      <c r="R20" s="38"/>
      <c r="S20" s="54"/>
      <c r="T20" s="55"/>
      <c r="U20" s="374" t="str">
        <f t="shared" si="3"/>
        <v/>
      </c>
      <c r="V20" s="374" t="str">
        <f t="shared" si="4"/>
        <v/>
      </c>
      <c r="W20" s="374"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378" t="str">
        <f>IFERROR(IF(H20="","",IF(H20-S20-T20=0&lt;0,"Error in Areas ▲",IF(S20+T20&gt;H20,"Error in Areas ▲",IF(AND(P20='G-1 All Habitats'!$X$3,Y20="Yes"),"Alternative Compensation ✓",IF(W20=0,0,IF(P20='G-1 All Habitats'!$X$3,"Any Loss Unacceptable ▲",Q20-U20-V20)))))),"Check Data ▲")</f>
        <v/>
      </c>
      <c r="Y20" s="55"/>
      <c r="Z20" s="62"/>
      <c r="AA20" s="526"/>
      <c r="AB20" s="120"/>
      <c r="AC20" s="726" t="str">
        <f>IF(P20="","",IF(P20='G-1 All Habitats'!$X$3,H20-S20-T20,"None"))</f>
        <v/>
      </c>
      <c r="AD20" s="727" t="str">
        <f>IF(P20="","", IF(P20='G-1 All Habitats'!$X$3, AC20*J20*L20*O20,"None"))</f>
        <v/>
      </c>
      <c r="AF20" s="40" t="str">
        <f t="shared" si="0"/>
        <v/>
      </c>
      <c r="AG20" s="40" t="str">
        <f t="shared" si="1"/>
        <v/>
      </c>
      <c r="AH20" s="40" t="str">
        <f>IF(I20="","",IF(#REF!&gt;0,TRUE,FALSE))</f>
        <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x14ac:dyDescent="0.25">
      <c r="A21" s="35" t="str">
        <f>IFERROR(INDEX('G-1 All Habitats'!$AG$3:$AG$17,MATCH(E21,'G-1 All Habitats'!$AF$3:$AF$17,0)),"")</f>
        <v/>
      </c>
      <c r="B21" s="35" t="str">
        <f>IFERROR(INDEX('G-8 Condition Look up'!$I$4:$I$135,MATCH(G21,'G-8 Condition Look up'!$A$4:$A$135,0)),"")</f>
        <v/>
      </c>
      <c r="D21" s="287">
        <v>11</v>
      </c>
      <c r="E21" s="267"/>
      <c r="F21" s="61"/>
      <c r="G21" s="52" t="str">
        <f>IFERROR(INDEX('G-1 All Habitats'!$B$3:$B$134,MATCH(F21,'G-1 All Habitats'!$A$3:$A$134,0)),"")</f>
        <v/>
      </c>
      <c r="H21" s="53"/>
      <c r="I21" s="362" t="str">
        <f>IF(G21="","",VLOOKUP(G21,'G-1 All Habitats'!$B$2:$M$134,10,FALSE))</f>
        <v/>
      </c>
      <c r="J21" s="363" t="str">
        <f>IFERROR(VLOOKUP(I21,'G-1 All Habitats'!$V$3:$W$7,2,FALSE),"")</f>
        <v/>
      </c>
      <c r="K21" s="54"/>
      <c r="L21" s="363" t="str">
        <f>IFERROR(INDEX('G-8 Condition Look up'!$A$3:$H$135,MATCH(G21,'G-8 Condition Look up'!$A$3:$A$135,0),MATCH(K21,'G-8 Condition Look up'!$A$3:$H$3,0)),"")</f>
        <v/>
      </c>
      <c r="M21" s="54"/>
      <c r="N21" s="382" t="str">
        <f>IF(M21="","",IF(VLOOKUP(M21,'G-3 Multipliers'!$L$3:$N$6,2,FALSE)=0,"Spatial Data Missing",VLOOKUP(M21,'G-3 Multipliers'!$L$3:$N$6,2,FALSE)))</f>
        <v/>
      </c>
      <c r="O21" s="368" t="str">
        <f>IF(M21="","",IF(VLOOKUP(M21,'G-3 Multipliers'!$L$3:$N$6,3,FALSE)=0,"Spatial Data Missing ▲",VLOOKUP(M21,'G-3 Multipliers'!$L$3:$N$6,3,FALSE)))</f>
        <v/>
      </c>
      <c r="P21" s="369" t="str">
        <f>IFERROR(VLOOKUP(G21,'G-1 All Habitats'!$B$2:$M$134,12,FALSE),"")</f>
        <v/>
      </c>
      <c r="Q21" s="376" t="str">
        <f>IFERROR(IF(P21="","",IF(AND(P21='G-1 All Habitats'!$X$3,T21&gt;0),U21+V21,IF(AND(P21='G-1 All Habitats'!$X$3,S21&gt;0),U21+V21,IF(AND(P21='G-1 All Habitats'!$X$3,AC21&gt;0),"Any Loss Unacceptable ⚠",IF(AND(P21='G-1 All Habitats'!$X$3,W21&gt;0),"Any Loss Unacceptable ⚠",H21*J21*L21*O21))))),"Check Data ▲")</f>
        <v/>
      </c>
      <c r="R21" s="38"/>
      <c r="S21" s="54"/>
      <c r="T21" s="55"/>
      <c r="U21" s="374" t="str">
        <f t="shared" si="3"/>
        <v/>
      </c>
      <c r="V21" s="374" t="str">
        <f t="shared" si="4"/>
        <v/>
      </c>
      <c r="W21" s="374"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378" t="str">
        <f>IFERROR(IF(H21="","",IF(H21-S21-T21=0&lt;0,"Error in Areas ▲",IF(S21+T21&gt;H21,"Error in Areas ▲",IF(AND(P21='G-1 All Habitats'!$X$3,Y21="Yes"),"Alternative Compensation ✓",IF(W21=0,0,IF(P21='G-1 All Habitats'!$X$3,"Any Loss Unacceptable ▲",Q21-U21-V21)))))),"Check Data ▲")</f>
        <v/>
      </c>
      <c r="Y21" s="55"/>
      <c r="Z21" s="62"/>
      <c r="AA21" s="526"/>
      <c r="AB21" s="120"/>
      <c r="AC21" s="726" t="str">
        <f>IF(P21="","",IF(P21='G-1 All Habitats'!$X$3,H21-S21-T21,"None"))</f>
        <v/>
      </c>
      <c r="AD21" s="727" t="str">
        <f>IF(P21="","", IF(P21='G-1 All Habitats'!$X$3, AC21*J21*L21*O21,"None"))</f>
        <v/>
      </c>
      <c r="AF21" s="40" t="str">
        <f t="shared" si="0"/>
        <v/>
      </c>
      <c r="AG21" s="40" t="str">
        <f t="shared" si="1"/>
        <v/>
      </c>
      <c r="AH21" s="40" t="str">
        <f>IF(I21="","",IF(#REF!&gt;0,TRUE,FALSE))</f>
        <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x14ac:dyDescent="0.25">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x14ac:dyDescent="0.25">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x14ac:dyDescent="0.25">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x14ac:dyDescent="0.25">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x14ac:dyDescent="0.25">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x14ac:dyDescent="0.25">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x14ac:dyDescent="0.25">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x14ac:dyDescent="0.25">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x14ac:dyDescent="0.25">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x14ac:dyDescent="0.25">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x14ac:dyDescent="0.25">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x14ac:dyDescent="0.25">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x14ac:dyDescent="0.25">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x14ac:dyDescent="0.25">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x14ac:dyDescent="0.25">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x14ac:dyDescent="0.25">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x14ac:dyDescent="0.25">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x14ac:dyDescent="0.25">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x14ac:dyDescent="0.25">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x14ac:dyDescent="0.25">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x14ac:dyDescent="0.25">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x14ac:dyDescent="0.25">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x14ac:dyDescent="0.25">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x14ac:dyDescent="0.25">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x14ac:dyDescent="0.25">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x14ac:dyDescent="0.25">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x14ac:dyDescent="0.25">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x14ac:dyDescent="0.25">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x14ac:dyDescent="0.25">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x14ac:dyDescent="0.25">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x14ac:dyDescent="0.25">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x14ac:dyDescent="0.25">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x14ac:dyDescent="0.25">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x14ac:dyDescent="0.25">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x14ac:dyDescent="0.25">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x14ac:dyDescent="0.25">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x14ac:dyDescent="0.25">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x14ac:dyDescent="0.25">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x14ac:dyDescent="0.25">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x14ac:dyDescent="0.25">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x14ac:dyDescent="0.25">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x14ac:dyDescent="0.25">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x14ac:dyDescent="0.25">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x14ac:dyDescent="0.25">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x14ac:dyDescent="0.25">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x14ac:dyDescent="0.25">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x14ac:dyDescent="0.25">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x14ac:dyDescent="0.25">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x14ac:dyDescent="0.25">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x14ac:dyDescent="0.25">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x14ac:dyDescent="0.25">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x14ac:dyDescent="0.25">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x14ac:dyDescent="0.25">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x14ac:dyDescent="0.25">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x14ac:dyDescent="0.25">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x14ac:dyDescent="0.25">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x14ac:dyDescent="0.25">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x14ac:dyDescent="0.25">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x14ac:dyDescent="0.25">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x14ac:dyDescent="0.25">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x14ac:dyDescent="0.25">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x14ac:dyDescent="0.25">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x14ac:dyDescent="0.25">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x14ac:dyDescent="0.25">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x14ac:dyDescent="0.25">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x14ac:dyDescent="0.25">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x14ac:dyDescent="0.25">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x14ac:dyDescent="0.25">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x14ac:dyDescent="0.25">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x14ac:dyDescent="0.25">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x14ac:dyDescent="0.25">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x14ac:dyDescent="0.25">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x14ac:dyDescent="0.25">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x14ac:dyDescent="0.25">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x14ac:dyDescent="0.25">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x14ac:dyDescent="0.25">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x14ac:dyDescent="0.25">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x14ac:dyDescent="0.25">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x14ac:dyDescent="0.25">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x14ac:dyDescent="0.25">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x14ac:dyDescent="0.25">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x14ac:dyDescent="0.25">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x14ac:dyDescent="0.25">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x14ac:dyDescent="0.25">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x14ac:dyDescent="0.25">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x14ac:dyDescent="0.25">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x14ac:dyDescent="0.25">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x14ac:dyDescent="0.25">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x14ac:dyDescent="0.25">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x14ac:dyDescent="0.25">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x14ac:dyDescent="0.25">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x14ac:dyDescent="0.25">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x14ac:dyDescent="0.25">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x14ac:dyDescent="0.25">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x14ac:dyDescent="0.25">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x14ac:dyDescent="0.25">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x14ac:dyDescent="0.25">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x14ac:dyDescent="0.25">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x14ac:dyDescent="0.25">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x14ac:dyDescent="0.25">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x14ac:dyDescent="0.25">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x14ac:dyDescent="0.25">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x14ac:dyDescent="0.25">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x14ac:dyDescent="0.25">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x14ac:dyDescent="0.25">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x14ac:dyDescent="0.25">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x14ac:dyDescent="0.25">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x14ac:dyDescent="0.25">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x14ac:dyDescent="0.25">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x14ac:dyDescent="0.25">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x14ac:dyDescent="0.25">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x14ac:dyDescent="0.25">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x14ac:dyDescent="0.25">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x14ac:dyDescent="0.25">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x14ac:dyDescent="0.25">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x14ac:dyDescent="0.25">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x14ac:dyDescent="0.25">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x14ac:dyDescent="0.25">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x14ac:dyDescent="0.25">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x14ac:dyDescent="0.25">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x14ac:dyDescent="0.25">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x14ac:dyDescent="0.25">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x14ac:dyDescent="0.25">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x14ac:dyDescent="0.25">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x14ac:dyDescent="0.25">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x14ac:dyDescent="0.25">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x14ac:dyDescent="0.25">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x14ac:dyDescent="0.25">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x14ac:dyDescent="0.25">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x14ac:dyDescent="0.25">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x14ac:dyDescent="0.25">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x14ac:dyDescent="0.25">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x14ac:dyDescent="0.25">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x14ac:dyDescent="0.25">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x14ac:dyDescent="0.25">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x14ac:dyDescent="0.25">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x14ac:dyDescent="0.25">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x14ac:dyDescent="0.25">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x14ac:dyDescent="0.25">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x14ac:dyDescent="0.25">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x14ac:dyDescent="0.25">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x14ac:dyDescent="0.25">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x14ac:dyDescent="0.25">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x14ac:dyDescent="0.25">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x14ac:dyDescent="0.25">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x14ac:dyDescent="0.25">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x14ac:dyDescent="0.25">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x14ac:dyDescent="0.25">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x14ac:dyDescent="0.25">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x14ac:dyDescent="0.25">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x14ac:dyDescent="0.25">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x14ac:dyDescent="0.25">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x14ac:dyDescent="0.25">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x14ac:dyDescent="0.25">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x14ac:dyDescent="0.25">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x14ac:dyDescent="0.25">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x14ac:dyDescent="0.25">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x14ac:dyDescent="0.25">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x14ac:dyDescent="0.25">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x14ac:dyDescent="0.25">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x14ac:dyDescent="0.25">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x14ac:dyDescent="0.25">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x14ac:dyDescent="0.25">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x14ac:dyDescent="0.25">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x14ac:dyDescent="0.25">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x14ac:dyDescent="0.25">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x14ac:dyDescent="0.25">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x14ac:dyDescent="0.25">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x14ac:dyDescent="0.25">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x14ac:dyDescent="0.25">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x14ac:dyDescent="0.25">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x14ac:dyDescent="0.25">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x14ac:dyDescent="0.25">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x14ac:dyDescent="0.25">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x14ac:dyDescent="0.25">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x14ac:dyDescent="0.25">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x14ac:dyDescent="0.25">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x14ac:dyDescent="0.25">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x14ac:dyDescent="0.25">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x14ac:dyDescent="0.25">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x14ac:dyDescent="0.25">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x14ac:dyDescent="0.25">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x14ac:dyDescent="0.25">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x14ac:dyDescent="0.25">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x14ac:dyDescent="0.25">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x14ac:dyDescent="0.25">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x14ac:dyDescent="0.25">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x14ac:dyDescent="0.25">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x14ac:dyDescent="0.25">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x14ac:dyDescent="0.25">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x14ac:dyDescent="0.25">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x14ac:dyDescent="0.25">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x14ac:dyDescent="0.25">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x14ac:dyDescent="0.25">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x14ac:dyDescent="0.25">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x14ac:dyDescent="0.25">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x14ac:dyDescent="0.25">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x14ac:dyDescent="0.25">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x14ac:dyDescent="0.25">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x14ac:dyDescent="0.25">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x14ac:dyDescent="0.25">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x14ac:dyDescent="0.25">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x14ac:dyDescent="0.25">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x14ac:dyDescent="0.25">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x14ac:dyDescent="0.25">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x14ac:dyDescent="0.25">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x14ac:dyDescent="0.25">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x14ac:dyDescent="0.25">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x14ac:dyDescent="0.25">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x14ac:dyDescent="0.25">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x14ac:dyDescent="0.25">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x14ac:dyDescent="0.25">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x14ac:dyDescent="0.25">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x14ac:dyDescent="0.25">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x14ac:dyDescent="0.25">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x14ac:dyDescent="0.25">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x14ac:dyDescent="0.25">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x14ac:dyDescent="0.25">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x14ac:dyDescent="0.25">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x14ac:dyDescent="0.25">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x14ac:dyDescent="0.25">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x14ac:dyDescent="0.25">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x14ac:dyDescent="0.25">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x14ac:dyDescent="0.25">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x14ac:dyDescent="0.25">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x14ac:dyDescent="0.25">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x14ac:dyDescent="0.25">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x14ac:dyDescent="0.25">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x14ac:dyDescent="0.25">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x14ac:dyDescent="0.25">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x14ac:dyDescent="0.25">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x14ac:dyDescent="0.25">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x14ac:dyDescent="0.25">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x14ac:dyDescent="0.25">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x14ac:dyDescent="0.25">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x14ac:dyDescent="0.25">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 thickBot="1" x14ac:dyDescent="0.3">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 thickBot="1" x14ac:dyDescent="0.3">
      <c r="F259" s="784" t="s">
        <v>304</v>
      </c>
      <c r="H259" s="785">
        <f>IF('Detailed Results'!K40&gt;0,"Error ▲", SUM(H11:H258))</f>
        <v>0.53849999999999998</v>
      </c>
      <c r="N259" s="38"/>
      <c r="P259" s="786"/>
      <c r="Q259" s="403">
        <f>IF('Detailed Results'!K40&gt;0,"Error ▲",SUM(Q11:Q258))</f>
        <v>8.6957200000000014</v>
      </c>
      <c r="R259" s="65"/>
      <c r="S259" s="800">
        <f>IF('Detailed Results'!$K$40&gt;0,"Error ▲",SUM(S11:S258))</f>
        <v>0.12839999999999999</v>
      </c>
      <c r="T259" s="343">
        <f>IF('Detailed Results'!$K$40&gt;0,"Error ▲",SUM(T11:T258))</f>
        <v>0</v>
      </c>
      <c r="U259" s="343" cm="1">
        <f t="array" ref="U259">IF(OR('Detailed Results'!$K$40&gt;0,W11:W258="Error in Areas ▲"),"Error ▲",SUM(U11:U258))</f>
        <v>2.4622199999999999</v>
      </c>
      <c r="V259" s="343" cm="1">
        <f t="array" ref="V259">IF(OR('Detailed Results'!$K$40&gt;0, W11:W258="Error in Areas ▲"),"Error ▲",SUM(V11:V258))</f>
        <v>0</v>
      </c>
      <c r="W259" s="343">
        <f>IF('Detailed Results'!$K$40&gt;0,"Error ▲",SUM(W11:W258))</f>
        <v>0.41009999999999996</v>
      </c>
      <c r="X259" s="403">
        <f>IF('Detailed Results'!$K$40&gt;0,"Error ▲",SUM(X11:X258))</f>
        <v>6.2335000000000003</v>
      </c>
      <c r="AQ259" s="41">
        <f>SUM(AQ11:AQ258)</f>
        <v>0</v>
      </c>
    </row>
    <row r="260" spans="1:43" ht="28.5" customHeight="1" thickBot="1" x14ac:dyDescent="0.3">
      <c r="F260" s="729" t="s">
        <v>305</v>
      </c>
      <c r="G260" s="564"/>
      <c r="H260" s="381">
        <f>IF('Detailed Results'!$K$40&gt;0,"Error ▲",SUMIFS($H$11:$H$256,$G$11:$G$256,"&lt;&gt;"&amp;'G-1 All Habitats'!B80,$G$11:$G$256,"&lt;&gt;"&amp;'G-1 All Habitats'!B81,$G$11:$G$256,"&lt;&gt;"&amp;'G-1 All Habitats'!B67,$G$11:$G$256,"&lt;&gt;"&amp;'G-1 All Habitats'!B68))</f>
        <v>0.53849999999999998</v>
      </c>
      <c r="P260" s="38"/>
      <c r="Y260" s="66"/>
    </row>
    <row r="261" spans="1:43" ht="34.049999999999997" customHeight="1" thickBot="1" x14ac:dyDescent="0.3">
      <c r="D261" s="38"/>
      <c r="E261" s="38"/>
      <c r="F261" s="66"/>
      <c r="H261" s="65"/>
      <c r="S261" s="1424" t="s">
        <v>306</v>
      </c>
      <c r="T261" s="1425"/>
      <c r="U261" s="1425"/>
      <c r="V261" s="1426"/>
      <c r="W261" s="366">
        <f>IF('Detailed Results'!$K$40&gt;0,"Error ▲",SUMIFS($W$11:$W$258,$G$11:$G$258,"&lt;&gt;"&amp;'G-1 All Habitats'!B67,$G$11:$G$258,"&lt;&gt;"&amp;'G-1 All Habitats'!B68,$G$11:$G$258,"&lt;&gt;"&amp;'G-1 All Habitats'!B80, $G$11:$G$258,"&lt;&gt;"&amp;'G-1 All Habitats'!B81))</f>
        <v>0.41009999999999996</v>
      </c>
    </row>
    <row r="262" spans="1:43" x14ac:dyDescent="0.25">
      <c r="D262" s="38"/>
      <c r="E262" s="38"/>
    </row>
    <row r="263" spans="1:43" ht="14.4" thickBot="1" x14ac:dyDescent="0.3">
      <c r="D263" s="38"/>
      <c r="E263" s="38"/>
      <c r="F263" s="38"/>
      <c r="G263" s="36"/>
      <c r="H263" s="38"/>
      <c r="I263" s="38"/>
      <c r="J263" s="38"/>
      <c r="K263" s="38"/>
      <c r="L263" s="38"/>
      <c r="M263" s="38"/>
      <c r="N263" s="38"/>
      <c r="O263" s="38"/>
    </row>
    <row r="264" spans="1:43" ht="14.4" thickBot="1" x14ac:dyDescent="0.3">
      <c r="D264" s="38"/>
      <c r="E264" s="38"/>
      <c r="F264" s="1417" t="s">
        <v>307</v>
      </c>
      <c r="G264" s="36"/>
      <c r="H264" s="730" t="s">
        <v>308</v>
      </c>
      <c r="I264" s="734" t="s">
        <v>309</v>
      </c>
      <c r="J264" s="1419" t="s">
        <v>310</v>
      </c>
      <c r="K264" s="1420"/>
      <c r="L264" s="38"/>
      <c r="M264" s="38"/>
      <c r="N264" s="38"/>
      <c r="O264" s="38"/>
    </row>
    <row r="265" spans="1:43" ht="15" customHeight="1" thickBot="1" x14ac:dyDescent="0.3">
      <c r="D265" s="38"/>
      <c r="E265" s="38"/>
      <c r="F265" s="1418"/>
      <c r="G265" s="36"/>
      <c r="H265" s="730"/>
      <c r="I265" s="373" t="str">
        <f>IF(H264="Hectares",H265,IF(H264="M²",H265/10000,""))</f>
        <v/>
      </c>
      <c r="J265" s="1421" t="str">
        <f>IF(H264="M²",H265,IF(H264="Hectares",H265*10000,""))</f>
        <v/>
      </c>
      <c r="K265" s="1422"/>
      <c r="L265" s="38"/>
      <c r="M265" s="38"/>
      <c r="N265" s="38"/>
      <c r="O265" s="38"/>
    </row>
    <row r="275" x14ac:dyDescent="0.25"/>
  </sheetData>
  <sheetProtection algorithmName="SHA-512" hashValue="YzOHdEmurz9B+Rg3G/ljULGyZQkep/jwPLfbnyHCdLNFbGMHr8ZqCU1ZgJlh5te/ueVc6USNvva4hHYCGZoNDg==" saltValue="VXnxpemvgFCIC2NiZtcfDA=="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 ref="I2:M2"/>
    <mergeCell ref="Z9:AB9"/>
    <mergeCell ref="M9:O9"/>
    <mergeCell ref="S9:X9"/>
    <mergeCell ref="P9:P10"/>
    <mergeCell ref="Y9:Y10"/>
    <mergeCell ref="I6:M8"/>
  </mergeCells>
  <conditionalFormatting sqref="H259:H260">
    <cfRule type="containsText" dxfId="553" priority="2" operator="containsText" text="▲">
      <formula>NOT(ISERROR(SEARCH("▲",H259)))</formula>
    </cfRule>
  </conditionalFormatting>
  <conditionalFormatting sqref="I6:M8">
    <cfRule type="containsText" dxfId="552" priority="8" operator="containsText" text="⚠">
      <formula>NOT(ISERROR(SEARCH("⚠",I6)))</formula>
    </cfRule>
  </conditionalFormatting>
  <conditionalFormatting sqref="L3">
    <cfRule type="containsText" dxfId="551" priority="24" operator="containsText" text="Error">
      <formula>NOT(ISERROR(SEARCH("Error",L3)))</formula>
    </cfRule>
    <cfRule type="containsText" dxfId="550" priority="25" operator="containsText" text="Check">
      <formula>NOT(ISERROR(SEARCH("Check",L3)))</formula>
    </cfRule>
  </conditionalFormatting>
  <conditionalFormatting sqref="L4">
    <cfRule type="cellIs" dxfId="549" priority="7" operator="equal">
      <formula>0</formula>
    </cfRule>
    <cfRule type="containsText" dxfId="548" priority="13" operator="containsText" text="Error">
      <formula>NOT(ISERROR(SEARCH("Error",L4)))</formula>
    </cfRule>
    <cfRule type="containsText" dxfId="546" priority="12" operator="containsText" text="Check">
      <formula>NOT(ISERROR(SEARCH("Check",L4)))</formula>
    </cfRule>
  </conditionalFormatting>
  <conditionalFormatting sqref="L5">
    <cfRule type="containsText" dxfId="544" priority="18" operator="containsText" text="No">
      <formula>NOT(ISERROR(SEARCH("No",L5)))</formula>
    </cfRule>
    <cfRule type="containsText" dxfId="543" priority="19" operator="containsText" text="Yes">
      <formula>NOT(ISERROR(SEARCH("Yes",L5)))</formula>
    </cfRule>
  </conditionalFormatting>
  <conditionalFormatting sqref="L11:L258">
    <cfRule type="cellIs" dxfId="542" priority="138" operator="equal">
      <formula>"Not Possible"</formula>
    </cfRule>
  </conditionalFormatting>
  <conditionalFormatting sqref="L3:M5">
    <cfRule type="containsText" dxfId="541" priority="1" operator="containsText" text="N/A">
      <formula>NOT(ISERROR(SEARCH("N/A",L3)))</formula>
    </cfRule>
  </conditionalFormatting>
  <conditionalFormatting sqref="L4:M4">
    <cfRule type="cellIs" dxfId="540" priority="14" operator="lessThan">
      <formula>0</formula>
    </cfRule>
  </conditionalFormatting>
  <conditionalFormatting sqref="Q2">
    <cfRule type="containsText" dxfId="535" priority="11" operator="containsText" text="Check">
      <formula>NOT(ISERROR(SEARCH("Check",Q2)))</formula>
    </cfRule>
  </conditionalFormatting>
  <conditionalFormatting sqref="Q11:Q258">
    <cfRule type="expression" dxfId="534" priority="73">
      <formula>"p18=""Avoid"""</formula>
    </cfRule>
    <cfRule type="cellIs" dxfId="533" priority="71" operator="equal">
      <formula>"Any loss Unacceptable ⚠"</formula>
    </cfRule>
    <cfRule type="expression" dxfId="532" priority="76">
      <formula>"p18=""Avoid"""</formula>
    </cfRule>
    <cfRule type="cellIs" dxfId="531" priority="67" operator="equal">
      <formula>"Check Data ▲"</formula>
    </cfRule>
    <cfRule type="cellIs" dxfId="530" priority="74" operator="equal">
      <formula>"Any loss Unacceptable ⚠"</formula>
    </cfRule>
  </conditionalFormatting>
  <conditionalFormatting sqref="Q12:Q258">
    <cfRule type="cellIs" dxfId="529" priority="68" operator="equal">
      <formula>"Any loss Unacceptable ▲"</formula>
    </cfRule>
    <cfRule type="expression" dxfId="528" priority="70">
      <formula>"p18=""Avoid"""</formula>
    </cfRule>
  </conditionalFormatting>
  <conditionalFormatting sqref="Q259:T259">
    <cfRule type="containsText" dxfId="527" priority="4" operator="containsText" text="Error">
      <formula>NOT(ISERROR(SEARCH("Error",Q259)))</formula>
    </cfRule>
  </conditionalFormatting>
  <conditionalFormatting sqref="U259:V259">
    <cfRule type="containsText" dxfId="526" priority="9" operator="containsText" text="Error">
      <formula>NOT(ISERROR(SEARCH("Error",U259)))</formula>
    </cfRule>
  </conditionalFormatting>
  <conditionalFormatting sqref="W11:W258">
    <cfRule type="cellIs" dxfId="525" priority="96" operator="equal">
      <formula>"Unacceptable Loss ▲"</formula>
    </cfRule>
    <cfRule type="cellIs" dxfId="524" priority="30" operator="equal">
      <formula>"Unacceptable Loss ⚠"</formula>
    </cfRule>
    <cfRule type="cellIs" dxfId="523" priority="29" operator="equal">
      <formula>"Error in Areas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22" priority="36" operator="equal">
      <formula>"Error in Areas"</formula>
    </cfRule>
    <cfRule type="cellIs" dxfId="521" priority="37" operator="equal">
      <formula>"Unacceptable Loss"</formula>
    </cfRule>
  </conditionalFormatting>
  <conditionalFormatting sqref="W261">
    <cfRule type="containsText" dxfId="520" priority="3" operator="containsText" text="▲">
      <formula>NOT(ISERROR(SEARCH("▲",W261)))</formula>
    </cfRule>
  </conditionalFormatting>
  <conditionalFormatting sqref="W11:X258">
    <cfRule type="cellIs" dxfId="519" priority="51" operator="equal">
      <formula>"Error in Areas ▲"</formula>
    </cfRule>
  </conditionalFormatting>
  <conditionalFormatting sqref="W259:X259">
    <cfRule type="containsText" dxfId="518" priority="5" operator="containsText" text="▲">
      <formula>NOT(ISERROR(SEARCH("▲",W259)))</formula>
    </cfRule>
  </conditionalFormatting>
  <conditionalFormatting sqref="X11:X258">
    <cfRule type="containsText" dxfId="517" priority="40" operator="containsText" text="Check">
      <formula>NOT(ISERROR(SEARCH("Check",X11)))</formula>
    </cfRule>
    <cfRule type="containsText" dxfId="516" priority="52" operator="containsText" text="Unacceptable">
      <formula>NOT(ISERROR(SEARCH("Unacceptable",X11)))</formula>
    </cfRule>
    <cfRule type="containsText" dxfId="515" priority="10" operator="containsText" text="✓">
      <formula>NOT(ISERROR(SEARCH("✓",X11)))</formula>
    </cfRule>
  </conditionalFormatting>
  <conditionalFormatting sqref="Y11:Y258">
    <cfRule type="cellIs" dxfId="514" priority="134" operator="equal">
      <formula>"No"</formula>
    </cfRule>
    <cfRule type="cellIs" dxfId="513" priority="135" operator="equal">
      <formula>"Yes"</formula>
    </cfRule>
  </conditionalFormatting>
  <conditionalFormatting sqref="AC11:AC258">
    <cfRule type="cellIs" dxfId="512" priority="146" operator="equal">
      <formula>0</formula>
    </cfRule>
  </conditionalFormatting>
  <conditionalFormatting sqref="AC11:AD258">
    <cfRule type="cellIs" dxfId="511" priority="149" operator="equal">
      <formula>"None"</formula>
    </cfRule>
    <cfRule type="cellIs" dxfId="510" priority="152" operator="equal">
      <formula>""</formula>
    </cfRule>
    <cfRule type="cellIs" dxfId="509" priority="155"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lessThan" id="{593D0BA2-2099-43F5-91C6-6C5B4FA9AD26}">
            <xm:f>Start!$F$22</xm:f>
            <x14:dxf>
              <font>
                <color rgb="FF383745"/>
              </font>
              <fill>
                <patternFill>
                  <bgColor rgb="FFFFC000"/>
                </patternFill>
              </fill>
            </x14:dxf>
          </x14:cfRule>
          <x14:cfRule type="cellIs" priority="427" operator="greaterThanOrEqual" id="{F95202D6-4765-40D2-A5FC-CA0B91DFE22A}">
            <xm:f>Start!$F$22</xm:f>
            <x14:dxf>
              <font>
                <color rgb="FF383745"/>
              </font>
              <fill>
                <patternFill>
                  <bgColor rgb="FF92D050"/>
                </patternFill>
              </fill>
            </x14:dxf>
          </x14:cfRule>
          <xm:sqref>L4</xm:sqref>
        </x14:conditionalFormatting>
        <x14:conditionalFormatting xmlns:xm="http://schemas.microsoft.com/office/excel/2006/main">
          <x14:cfRule type="cellIs" priority="143" operator="equal" id="{78251F4B-D9B8-491B-A3CB-C3E31CF4FAF9}">
            <xm:f>'G-1 All Habitats'!$X$6</xm:f>
            <x14:dxf>
              <font>
                <color rgb="FF383745"/>
              </font>
              <fill>
                <patternFill>
                  <fgColor auto="1"/>
                  <bgColor theme="8" tint="0.59996337778862885"/>
                </patternFill>
              </fill>
            </x14:dxf>
          </x14:cfRule>
          <x14:cfRule type="cellIs" priority="246" operator="equal" id="{CE433DA3-276C-48D8-8968-BAC21DBC1720}">
            <xm:f>'G-1 All Habitats'!$X$5</xm:f>
            <x14:dxf>
              <font>
                <color rgb="FF383745"/>
              </font>
              <fill>
                <patternFill>
                  <bgColor theme="8" tint="-0.24994659260841701"/>
                </patternFill>
              </fill>
            </x14:dxf>
          </x14:cfRule>
          <x14:cfRule type="cellIs" priority="247" operator="equal" id="{FAF3837B-61C2-4812-84DC-4861E4B549AE}">
            <xm:f>'G-1 All Habitats'!$X$4</xm:f>
            <x14:dxf>
              <font>
                <color rgb="FF383745"/>
              </font>
              <fill>
                <patternFill>
                  <bgColor theme="6"/>
                </patternFill>
              </fill>
            </x14:dxf>
          </x14:cfRule>
          <x14:cfRule type="cellIs" priority="248"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abSelected="1" topLeftCell="D1" zoomScale="80" zoomScaleNormal="80" workbookViewId="0">
      <pane ySplit="10" topLeftCell="A11" activePane="bottomLeft" state="frozen"/>
      <selection pane="bottomLeft" activeCell="O31" sqref="O31"/>
    </sheetView>
  </sheetViews>
  <sheetFormatPr defaultColWidth="0" defaultRowHeight="13.8" zeroHeight="1" x14ac:dyDescent="0.25"/>
  <cols>
    <col min="1" max="1" width="19.77734375" style="35" hidden="1" customWidth="1"/>
    <col min="2" max="2" width="10.77734375" style="35" hidden="1" customWidth="1"/>
    <col min="3" max="3" width="5.5546875" style="35" hidden="1" customWidth="1"/>
    <col min="4" max="4" width="27.21875" style="35" customWidth="1"/>
    <col min="5" max="5" width="75" style="37" customWidth="1"/>
    <col min="6" max="6" width="24.44140625" style="35" hidden="1" customWidth="1"/>
    <col min="7" max="7" width="14.77734375" style="35" customWidth="1"/>
    <col min="8" max="8" width="18" style="35" customWidth="1"/>
    <col min="9" max="9" width="14.21875" style="35" customWidth="1"/>
    <col min="10" max="11" width="12.5546875" style="35" customWidth="1"/>
    <col min="12" max="12" width="42.21875" style="35" customWidth="1"/>
    <col min="13" max="13" width="19.5546875" style="35" customWidth="1"/>
    <col min="14" max="14" width="13.21875" style="35" customWidth="1"/>
    <col min="15" max="15" width="18" style="35" customWidth="1"/>
    <col min="16" max="17" width="17.77734375" style="35" customWidth="1"/>
    <col min="18" max="18" width="49.5546875" style="35" customWidth="1"/>
    <col min="19" max="19" width="18.21875" style="35" customWidth="1"/>
    <col min="20" max="20" width="15.21875" style="35" customWidth="1"/>
    <col min="21" max="21" width="13.77734375" style="35" customWidth="1"/>
    <col min="22" max="22" width="36.5546875" style="35" customWidth="1"/>
    <col min="23" max="23" width="15.21875" style="35" customWidth="1"/>
    <col min="24" max="24" width="14.21875" style="35" customWidth="1"/>
    <col min="25" max="25" width="12.77734375" style="35" customWidth="1"/>
    <col min="26" max="26" width="39.77734375" style="35" customWidth="1"/>
    <col min="27" max="27" width="43.21875" style="35" customWidth="1"/>
    <col min="28" max="28" width="16.44140625" style="35" customWidth="1"/>
    <col min="29" max="29" width="12" style="35" customWidth="1"/>
    <col min="30" max="30" width="8.77734375" style="35" hidden="1" customWidth="1"/>
    <col min="31" max="31" width="10.77734375" style="35" hidden="1" customWidth="1"/>
    <col min="32" max="32" width="11.77734375" style="35" hidden="1" customWidth="1"/>
    <col min="33" max="16383" width="8.77734375" style="35" hidden="1" customWidth="1"/>
    <col min="16384" max="16384" width="1.77734375" style="35" hidden="1" customWidth="1"/>
  </cols>
  <sheetData>
    <row r="1" spans="1:34" ht="14.4" thickBot="1" x14ac:dyDescent="0.3"/>
    <row r="2" spans="1:34" ht="18.75" customHeight="1" thickBot="1" x14ac:dyDescent="0.35">
      <c r="D2" s="1448" t="str">
        <f>CONCATENATE("Project Name:", " ", Start!F12, "     ", "Map Reference:", " ", Start!K55)</f>
        <v xml:space="preserve">Project Name: Broadfield Park Slopes (‘The Slopes’), The Esplanade, Rochdale, OL16 1AQ     Map Reference: </v>
      </c>
      <c r="E2" s="1449"/>
      <c r="G2" s="894">
        <v>0.01</v>
      </c>
      <c r="H2" s="1404" t="s">
        <v>262</v>
      </c>
      <c r="I2" s="1405"/>
      <c r="J2" s="1405"/>
      <c r="K2" s="1405"/>
      <c r="L2" s="1406"/>
      <c r="N2" s="1463" t="str">
        <f>IF(OR(COUNTIF($O$11:O256,"*30+*")&gt;0,COUNTIF($S$11:S256,"*30+*")&gt;0),"Note; Habitat selected has a time to target condition greater than 30 years. Non standard agreement may be required.","")</f>
        <v/>
      </c>
      <c r="O2" s="1463"/>
      <c r="P2" s="1463"/>
      <c r="Q2" s="1463"/>
      <c r="R2" s="1463"/>
      <c r="S2" s="1467" t="str" cm="1">
        <f t="array" ref="S2">IF(OR(J11:J256 = "Fairly Good", J11:J256 = "Fairly Poor"),"A 'Fairly' Category has been used - check evidence to ensure this is appropriate ⚠", "")</f>
        <v/>
      </c>
      <c r="T2" s="1467"/>
      <c r="U2" s="1467"/>
      <c r="V2" s="1467"/>
      <c r="W2" s="1467"/>
      <c r="X2" s="1467"/>
    </row>
    <row r="3" spans="1:34" ht="24" customHeight="1" thickBot="1" x14ac:dyDescent="0.3">
      <c r="D3" s="1450" t="str">
        <f ca="1">MID(CELL("filename",D1),FIND("]",CELL("filename",D1))+1,256)</f>
        <v>A-2 On-Site Habitat Creation</v>
      </c>
      <c r="E3" s="1451"/>
      <c r="H3" s="1468" t="s">
        <v>263</v>
      </c>
      <c r="I3" s="1469"/>
      <c r="J3" s="1470"/>
      <c r="K3" s="1471">
        <f>'Headline Results'!H47</f>
        <v>-4.3556251813435223</v>
      </c>
      <c r="L3" s="1472"/>
      <c r="N3" s="1463"/>
      <c r="O3" s="1463"/>
      <c r="P3" s="1463"/>
      <c r="Q3" s="1463"/>
      <c r="R3" s="1463"/>
      <c r="S3" s="1467"/>
      <c r="T3" s="1467"/>
      <c r="U3" s="1467"/>
      <c r="V3" s="1467"/>
      <c r="W3" s="1467"/>
      <c r="X3" s="1467"/>
    </row>
    <row r="4" spans="1:34" ht="12.6" customHeight="1" x14ac:dyDescent="0.25">
      <c r="H4" s="1473" t="s">
        <v>265</v>
      </c>
      <c r="I4" s="1474"/>
      <c r="J4" s="1475"/>
      <c r="K4" s="1476">
        <f>'Headline Results'!H51</f>
        <v>-0.50089298888919165</v>
      </c>
      <c r="L4" s="1477"/>
      <c r="N4" s="1464"/>
      <c r="O4" s="1464"/>
      <c r="P4" s="1464"/>
      <c r="Q4" s="1464"/>
      <c r="R4" s="1464"/>
      <c r="S4" s="1467"/>
      <c r="T4" s="1467"/>
      <c r="U4" s="1467"/>
      <c r="V4" s="1467"/>
      <c r="W4" s="1467"/>
      <c r="X4" s="1467"/>
    </row>
    <row r="5" spans="1:34" ht="15.6" customHeight="1" x14ac:dyDescent="0.3">
      <c r="H5" s="1473" t="s">
        <v>267</v>
      </c>
      <c r="I5" s="1474"/>
      <c r="J5" s="1475"/>
      <c r="K5" s="1478" t="str" cm="1">
        <f t="array" ref="K5">IF(OR('Trading Summary Area Habitats'!G5:G8="No ▲"), "No - check trading summaries ▲", "Yes ✓")</f>
        <v>No - check trading summaries ▲</v>
      </c>
      <c r="L5" s="1479"/>
      <c r="M5" s="199"/>
      <c r="N5" s="1464"/>
      <c r="O5" s="1464"/>
      <c r="P5" s="1464"/>
      <c r="Q5" s="1464"/>
      <c r="R5" s="1464"/>
      <c r="S5" s="1467"/>
      <c r="T5" s="1467"/>
      <c r="U5" s="1467"/>
      <c r="V5" s="1467"/>
      <c r="W5" s="1467"/>
      <c r="X5" s="1467"/>
    </row>
    <row r="6" spans="1:34" ht="36" customHeight="1" thickBot="1" x14ac:dyDescent="0.3">
      <c r="H6" s="1482" t="s">
        <v>1675</v>
      </c>
      <c r="I6" s="1483"/>
      <c r="J6" s="1484"/>
      <c r="K6" s="1480" t="str">
        <f>IF(ABS('A-1 On-Site Habitat Baseline'!W261 - G259)&lt;=G2,  "Area Acceptable 🗸", "Error - Area created does not equal area lost ▲")</f>
        <v>Area Acceptable 🗸</v>
      </c>
      <c r="L6" s="1481"/>
      <c r="N6" s="1464"/>
      <c r="O6" s="1464"/>
      <c r="P6" s="1464"/>
      <c r="Q6" s="1464"/>
      <c r="R6" s="1464"/>
    </row>
    <row r="7" spans="1:34" ht="39" customHeight="1" thickBot="1" x14ac:dyDescent="0.35">
      <c r="E7" s="38"/>
      <c r="H7" s="1485" t="str" cm="1">
        <f t="array" ref="H7">IF(OR(E11:E258="watercourse footprint"),"Please ensure the watercourse details for any watercourse footprints recorded are included in the watercourse tabs ⚠", "")</f>
        <v/>
      </c>
      <c r="I7" s="1485"/>
      <c r="J7" s="1485"/>
      <c r="K7" s="1485"/>
      <c r="L7" s="1485"/>
      <c r="P7" s="311"/>
      <c r="Q7" s="311"/>
      <c r="R7" s="311"/>
      <c r="S7" s="309"/>
      <c r="T7" s="309"/>
      <c r="U7" s="309"/>
      <c r="V7" s="309"/>
      <c r="W7" s="309"/>
    </row>
    <row r="8" spans="1:34" ht="14.4" thickBot="1" x14ac:dyDescent="0.3">
      <c r="D8" s="1458" t="s">
        <v>311</v>
      </c>
      <c r="E8" s="1459"/>
      <c r="F8" s="1459"/>
      <c r="G8" s="1459"/>
      <c r="H8" s="1459"/>
      <c r="I8" s="1459"/>
      <c r="J8" s="1459"/>
      <c r="K8" s="1459"/>
      <c r="L8" s="1459"/>
      <c r="M8" s="1459"/>
      <c r="N8" s="1459"/>
      <c r="O8" s="1459"/>
      <c r="P8" s="1459"/>
      <c r="Q8" s="1459"/>
      <c r="R8" s="1459"/>
      <c r="S8" s="1459"/>
      <c r="T8" s="1459"/>
      <c r="U8" s="1459"/>
      <c r="V8" s="1459"/>
      <c r="W8" s="1459"/>
      <c r="X8" s="1459"/>
      <c r="Y8" s="1459"/>
      <c r="Z8" s="1459"/>
      <c r="AA8" s="1460"/>
      <c r="AE8" s="1447" t="s">
        <v>312</v>
      </c>
    </row>
    <row r="9" spans="1:34" s="37" customFormat="1" ht="15" customHeight="1" thickBot="1" x14ac:dyDescent="0.3">
      <c r="B9" s="35"/>
      <c r="D9" s="1456" t="s">
        <v>282</v>
      </c>
      <c r="E9" s="1452" t="s">
        <v>313</v>
      </c>
      <c r="F9" s="1452" t="s">
        <v>313</v>
      </c>
      <c r="G9" s="1454" t="s">
        <v>285</v>
      </c>
      <c r="H9" s="1407" t="s">
        <v>269</v>
      </c>
      <c r="I9" s="1409"/>
      <c r="J9" s="1407" t="s">
        <v>270</v>
      </c>
      <c r="K9" s="1409"/>
      <c r="L9" s="1407" t="s">
        <v>271</v>
      </c>
      <c r="M9" s="1408"/>
      <c r="N9" s="1409"/>
      <c r="O9" s="1407" t="s">
        <v>314</v>
      </c>
      <c r="P9" s="1408"/>
      <c r="Q9" s="1408"/>
      <c r="R9" s="1408"/>
      <c r="S9" s="1408"/>
      <c r="T9" s="1409"/>
      <c r="U9" s="1410" t="s">
        <v>315</v>
      </c>
      <c r="V9" s="1411"/>
      <c r="W9" s="1411"/>
      <c r="X9" s="1412"/>
      <c r="Y9" s="1413" t="s">
        <v>316</v>
      </c>
      <c r="Z9" s="1461" t="s">
        <v>276</v>
      </c>
      <c r="AA9" s="1462"/>
      <c r="AB9" s="35"/>
      <c r="AC9" s="35"/>
      <c r="AD9" s="35"/>
      <c r="AE9" s="1447"/>
      <c r="AF9" s="35"/>
      <c r="AG9" s="35"/>
      <c r="AH9" s="35"/>
    </row>
    <row r="10" spans="1:34" ht="66" customHeight="1" thickBot="1" x14ac:dyDescent="0.3">
      <c r="A10" s="41" t="s">
        <v>280</v>
      </c>
      <c r="D10" s="1457"/>
      <c r="E10" s="1453"/>
      <c r="F10" s="1453"/>
      <c r="G10" s="1455"/>
      <c r="H10" s="807" t="s">
        <v>269</v>
      </c>
      <c r="I10" s="304" t="s">
        <v>286</v>
      </c>
      <c r="J10" s="808" t="s">
        <v>270</v>
      </c>
      <c r="K10" s="809" t="s">
        <v>286</v>
      </c>
      <c r="L10" s="45" t="s">
        <v>271</v>
      </c>
      <c r="M10" s="47" t="s">
        <v>271</v>
      </c>
      <c r="N10" s="48" t="s">
        <v>317</v>
      </c>
      <c r="O10" s="49" t="s">
        <v>318</v>
      </c>
      <c r="P10" s="753" t="s">
        <v>319</v>
      </c>
      <c r="Q10" s="753" t="s">
        <v>320</v>
      </c>
      <c r="R10" s="753" t="s">
        <v>321</v>
      </c>
      <c r="S10" s="753" t="s">
        <v>322</v>
      </c>
      <c r="T10" s="810" t="s">
        <v>323</v>
      </c>
      <c r="U10" s="746" t="s">
        <v>324</v>
      </c>
      <c r="V10" s="745" t="s">
        <v>325</v>
      </c>
      <c r="W10" s="745" t="s">
        <v>326</v>
      </c>
      <c r="X10" s="682" t="s">
        <v>327</v>
      </c>
      <c r="Y10" s="1414"/>
      <c r="Z10" s="44" t="s">
        <v>295</v>
      </c>
      <c r="AA10" s="43" t="s">
        <v>296</v>
      </c>
      <c r="AB10" s="48" t="s">
        <v>297</v>
      </c>
      <c r="AE10" s="35" t="s">
        <v>328</v>
      </c>
    </row>
    <row r="11" spans="1:34" ht="27.6" x14ac:dyDescent="0.25">
      <c r="A11" s="35" t="str">
        <f>IFERROR(INDEX('G-8 Condition Look up'!$I$4:$I$135,MATCH(F11,'G-8 Condition Look up'!$A$4:$A$135,0)),"")</f>
        <v>Cond4</v>
      </c>
      <c r="C11" s="299" t="str">
        <f>IFERROR(INDEX('G-1 All Habitats'!$AG$3:$AG$17,MATCH(D11,'G-1 All Habitats'!$AF$3:$AF$17,0)),"")</f>
        <v>Grassland</v>
      </c>
      <c r="D11" s="791" t="s">
        <v>125</v>
      </c>
      <c r="E11" s="812" t="s">
        <v>537</v>
      </c>
      <c r="F11" s="813" t="str">
        <f>IFERROR(INDEX('G-1 All Habitats'!$B$3:$B$134,MATCH(E11,'G-1 All Habitats'!$A$3:$A$134,0)),"")</f>
        <v>Grassland - Modified grassland</v>
      </c>
      <c r="G11" s="789">
        <v>0.14360000000000001</v>
      </c>
      <c r="H11" s="443" t="str">
        <f>IF(F11="","",VLOOKUP(F11,'G-1 All Habitats'!$B$2:$M$134,10,FALSE))</f>
        <v>Low</v>
      </c>
      <c r="I11" s="790">
        <f>IFERROR(VLOOKUP(H11,'G-1 All Habitats'!$V$3:$W$7,2,FALSE),"")</f>
        <v>2</v>
      </c>
      <c r="J11" s="791" t="s">
        <v>68</v>
      </c>
      <c r="K11" s="790">
        <f>IFERROR(INDEX('G-8 Condition Look up'!$A$3:$H$135,MATCH(F11,'G-8 Condition Look up'!$A$3:$A$135,0),MATCH(J11,'G-8 Condition Look up'!$A$3:$H$3,0)),"")</f>
        <v>3</v>
      </c>
      <c r="L11" s="54" t="s">
        <v>1034</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7</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7</v>
      </c>
      <c r="T11" s="814">
        <f>IFERROR(IF(S11="Check Data ⚠","Check Data ⚠",VLOOKUP(S11,'G-4 Temporal multipliers'!$A$4:$C$37,3,FALSE)),"")</f>
        <v>0.77927580669999996</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0.67142403505271997</v>
      </c>
      <c r="Z11" s="194" t="s">
        <v>1691</v>
      </c>
      <c r="AA11" s="195"/>
      <c r="AB11" s="118"/>
      <c r="AE11" s="40">
        <f t="shared" ref="AE11:AE74" si="0">IFERROR(INDEX(TemporalData,MATCH(F11,TemporalHabitats,0),MATCH($AE$10,TemporalConditions,0)),"")</f>
        <v>1</v>
      </c>
    </row>
    <row r="12" spans="1:34" ht="27.6" x14ac:dyDescent="0.25">
      <c r="A12" s="35" t="str">
        <f>IFERROR(INDEX('G-8 Condition Look up'!$I$4:$I$135,MATCH(F12,'G-8 Condition Look up'!$A$4:$A$135,0)),"")</f>
        <v>Cond4</v>
      </c>
      <c r="C12" s="299" t="str">
        <f>IFERROR(INDEX('G-1 All Habitats'!$AG$3:$AG$17,MATCH(D12,'G-1 All Habitats'!$AF$3:$AF$17,0)),"")</f>
        <v>Grassland</v>
      </c>
      <c r="D12" s="54" t="s">
        <v>125</v>
      </c>
      <c r="E12" s="61" t="s">
        <v>544</v>
      </c>
      <c r="F12" s="296" t="str">
        <f>IFERROR(INDEX('G-1 All Habitats'!$B$3:$B$134,MATCH(E12,'G-1 All Habitats'!$A$3:$A$134,0)),"")</f>
        <v>Grassland - Other neutral grassland</v>
      </c>
      <c r="G12" s="53">
        <v>9.3899999999999997E-2</v>
      </c>
      <c r="H12" s="362" t="str">
        <f>IF(F12="","",VLOOKUP(F12,'G-1 All Habitats'!$B$2:$M$134,10,FALSE))</f>
        <v>Medium</v>
      </c>
      <c r="I12" s="363">
        <f>IFERROR(VLOOKUP(H12,'G-1 All Habitats'!$V$3:$W$7,2,FALSE),"")</f>
        <v>4</v>
      </c>
      <c r="J12" s="54" t="s">
        <v>68</v>
      </c>
      <c r="K12" s="363">
        <f>IFERROR(INDEX('G-8 Condition Look up'!$A$3:$H$135,MATCH(F12,'G-8 Condition Look up'!$A$3:$A$135,0),MATCH(J12,'G-8 Condition Look up'!$A$3:$H$3,0)),"")</f>
        <v>3</v>
      </c>
      <c r="L12" s="54" t="s">
        <v>1034</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10</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10</v>
      </c>
      <c r="T12" s="384">
        <f>IFERROR(IF(S12="Check Data ⚠","Check Data ⚠",VLOOKUP(S12,'G-4 Temporal multipliers'!$A$4:$C$37,3,FALSE)),"")</f>
        <v>0.70028227419999989</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Low</v>
      </c>
      <c r="X12" s="386">
        <f>IFERROR(IF(E12="","",VLOOKUP(W12, 'G-3 Multipliers'!$P$2:$Q$6,2,FALSE)),"")</f>
        <v>1</v>
      </c>
      <c r="Y12" s="390">
        <f t="shared" ref="Y12:Y75" si="4">IFERROR(G12*I12*K12*N12*T12*X12,"")</f>
        <v>0.78907806656855994</v>
      </c>
      <c r="Z12" s="194" t="s">
        <v>1691</v>
      </c>
      <c r="AA12" s="195"/>
      <c r="AB12" s="120"/>
      <c r="AE12" s="40">
        <f t="shared" si="0"/>
        <v>2</v>
      </c>
    </row>
    <row r="13" spans="1:34" ht="41.4" x14ac:dyDescent="0.25">
      <c r="A13" s="35" t="str">
        <f>IFERROR(INDEX('G-8 Condition Look up'!$I$4:$I$135,MATCH(F13,'G-8 Condition Look up'!$A$4:$A$135,0)),"")</f>
        <v>Cond1</v>
      </c>
      <c r="C13" s="299" t="str">
        <f>IFERROR(INDEX('G-1 All Habitats'!$AG$3:$AG$17,MATCH(D13,'G-1 All Habitats'!$AF$3:$AF$17,0)),"")</f>
        <v>Urban</v>
      </c>
      <c r="D13" s="54" t="s">
        <v>129</v>
      </c>
      <c r="E13" s="61" t="s">
        <v>712</v>
      </c>
      <c r="F13" s="296" t="str">
        <f>IFERROR(INDEX('G-1 All Habitats'!$B$3:$B$134,MATCH(E13,'G-1 All Habitats'!$A$3:$A$134,0)),"")</f>
        <v>Urban - Introduced shrub</v>
      </c>
      <c r="G13" s="53">
        <v>4.2799999999999998E-2</v>
      </c>
      <c r="H13" s="362" t="str">
        <f>IF(F13="","",VLOOKUP(F13,'G-1 All Habitats'!$B$2:$M$134,10,FALSE))</f>
        <v>Low</v>
      </c>
      <c r="I13" s="363">
        <f>IFERROR(VLOOKUP(H13,'G-1 All Habitats'!$V$3:$W$7,2,FALSE),"")</f>
        <v>2</v>
      </c>
      <c r="J13" s="54" t="s">
        <v>492</v>
      </c>
      <c r="K13" s="363">
        <f>IFERROR(INDEX('G-8 Condition Look up'!$A$3:$H$135,MATCH(F13,'G-8 Condition Look up'!$A$3:$A$135,0),MATCH(J13,'G-8 Condition Look up'!$A$3:$H$3,0)),"")</f>
        <v>1</v>
      </c>
      <c r="L13" s="54" t="s">
        <v>1034</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1</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1</v>
      </c>
      <c r="T13" s="384">
        <f>IFERROR(IF(S13="Check Data ⚠","Check Data ⚠",VLOOKUP(S13,'G-4 Temporal multipliers'!$A$4:$C$37,3,FALSE)),"")</f>
        <v>0.96499999999999997</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8.2603999999999997E-2</v>
      </c>
      <c r="Z13" s="194"/>
      <c r="AA13" s="195"/>
      <c r="AB13" s="120"/>
      <c r="AE13" s="40" t="str">
        <f t="shared" si="0"/>
        <v>Not Possible</v>
      </c>
    </row>
    <row r="14" spans="1:34" ht="27.6" x14ac:dyDescent="0.25">
      <c r="A14" s="35" t="str">
        <f>IFERROR(INDEX('G-8 Condition Look up'!$I$4:$I$135,MATCH(F14,'G-8 Condition Look up'!$A$4:$A$135,0)),"")</f>
        <v>Cond4</v>
      </c>
      <c r="C14" s="299" t="str">
        <f>IFERROR(INDEX('G-1 All Habitats'!$AG$3:$AG$17,MATCH(D14,'G-1 All Habitats'!$AF$3:$AF$17,0)),"")</f>
        <v>Grassland</v>
      </c>
      <c r="D14" s="54" t="s">
        <v>125</v>
      </c>
      <c r="E14" s="61" t="s">
        <v>544</v>
      </c>
      <c r="F14" s="296" t="str">
        <f>IFERROR(INDEX('G-1 All Habitats'!$B$3:$B$134,MATCH(E14,'G-1 All Habitats'!$A$3:$A$134,0)),"")</f>
        <v>Grassland - Other neutral grassland</v>
      </c>
      <c r="G14" s="53">
        <v>3.7999999999999999E-2</v>
      </c>
      <c r="H14" s="362" t="str">
        <f>IF(F14="","",VLOOKUP(F14,'G-1 All Habitats'!$B$2:$M$134,10,FALSE))</f>
        <v>Medium</v>
      </c>
      <c r="I14" s="363">
        <f>IFERROR(VLOOKUP(H14,'G-1 All Habitats'!$V$3:$W$7,2,FALSE),"")</f>
        <v>4</v>
      </c>
      <c r="J14" s="54" t="s">
        <v>68</v>
      </c>
      <c r="K14" s="363">
        <f>IFERROR(INDEX('G-8 Condition Look up'!$A$3:$H$135,MATCH(F14,'G-8 Condition Look up'!$A$3:$A$135,0),MATCH(J14,'G-8 Condition Look up'!$A$3:$H$3,0)),"")</f>
        <v>3</v>
      </c>
      <c r="L14" s="54" t="s">
        <v>1034</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10</v>
      </c>
      <c r="P14" s="63">
        <v>0</v>
      </c>
      <c r="Q14" s="63">
        <v>0</v>
      </c>
      <c r="R14" s="370" t="str">
        <f t="shared" si="2"/>
        <v>Standard time to target condition applied</v>
      </c>
      <c r="S14" s="383">
        <f t="shared" si="3"/>
        <v>10</v>
      </c>
      <c r="T14" s="384">
        <f>IFERROR(IF(S14="Check Data ⚠","Check Data ⚠",VLOOKUP(S14,'G-4 Temporal multipliers'!$A$4:$C$37,3,FALSE)),"")</f>
        <v>0.70028227419999989</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0.31932871703519994</v>
      </c>
      <c r="Z14" s="194" t="s">
        <v>1691</v>
      </c>
      <c r="AA14" s="195"/>
      <c r="AB14" s="120"/>
      <c r="AE14" s="40">
        <f t="shared" si="0"/>
        <v>2</v>
      </c>
    </row>
    <row r="15" spans="1:34" ht="27.6" x14ac:dyDescent="0.25">
      <c r="A15" s="35" t="str">
        <f>IFERROR(INDEX('G-8 Condition Look up'!$I$4:$I$135,MATCH(F15,'G-8 Condition Look up'!$A$4:$A$135,0)),"")</f>
        <v>Cond4</v>
      </c>
      <c r="C15" s="299" t="str">
        <f>IFERROR(INDEX('G-1 All Habitats'!$AG$3:$AG$17,MATCH(D15,'G-1 All Habitats'!$AF$3:$AF$17,0)),"")</f>
        <v>Lakes</v>
      </c>
      <c r="D15" s="54" t="s">
        <v>127</v>
      </c>
      <c r="E15" s="61" t="s">
        <v>638</v>
      </c>
      <c r="F15" s="296" t="str">
        <f>IFERROR(INDEX('G-1 All Habitats'!$B$3:$B$134,MATCH(E15,'G-1 All Habitats'!$A$3:$A$134,0)),"")</f>
        <v>Lakes - Ponds (non-priority habitat)</v>
      </c>
      <c r="G15" s="53">
        <v>4.0000000000000001E-3</v>
      </c>
      <c r="H15" s="362" t="str">
        <f>IF(F15="","",VLOOKUP(F15,'G-1 All Habitats'!$B$2:$M$134,10,FALSE))</f>
        <v>Medium</v>
      </c>
      <c r="I15" s="363">
        <f>IFERROR(VLOOKUP(H15,'G-1 All Habitats'!$V$3:$W$7,2,FALSE),"")</f>
        <v>4</v>
      </c>
      <c r="J15" s="54" t="s">
        <v>328</v>
      </c>
      <c r="K15" s="363">
        <f>IFERROR(INDEX('G-8 Condition Look up'!$A$3:$H$135,MATCH(F15,'G-8 Condition Look up'!$A$3:$A$135,0),MATCH(J15,'G-8 Condition Look up'!$A$3:$H$3,0)),"")</f>
        <v>1</v>
      </c>
      <c r="L15" s="54" t="s">
        <v>1034</v>
      </c>
      <c r="M15" s="370" t="str">
        <f>IF(L15="","",IF(VLOOKUP(L15,'G-3 Multipliers'!$L$3:$N$6,2,FALSE)=0,"Spatial Data Missing",VLOOKUP(L15,'G-3 Multipliers'!$L$3:$N$6,2,FALSE)))</f>
        <v>Low Strategic Significance</v>
      </c>
      <c r="N15" s="368">
        <f>IF(L15="","",IF(VLOOKUP(L15,'G-3 Multipliers'!$L$3:$N$6,3,FALSE)=0,"Spatial Data Missing",VLOOKUP(L15,'G-3 Multipliers'!$L$3:$N$6,3,FALSE)))</f>
        <v>1</v>
      </c>
      <c r="O15" s="362">
        <f t="shared" si="1"/>
        <v>1</v>
      </c>
      <c r="P15" s="63">
        <v>0</v>
      </c>
      <c r="Q15" s="63">
        <v>0</v>
      </c>
      <c r="R15" s="370" t="str">
        <f t="shared" si="2"/>
        <v>Standard time to target condition applied</v>
      </c>
      <c r="S15" s="383">
        <f t="shared" si="3"/>
        <v>1</v>
      </c>
      <c r="T15" s="384">
        <f>IFERROR(IF(S15="Check Data ⚠","Check Data ⚠",VLOOKUP(S15,'G-4 Temporal multipliers'!$A$4:$C$37,3,FALSE)),"")</f>
        <v>0.96499999999999997</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1.5440000000000001E-2</v>
      </c>
      <c r="Z15" s="194"/>
      <c r="AA15" s="195"/>
      <c r="AB15" s="120"/>
      <c r="AE15" s="40">
        <f t="shared" si="0"/>
        <v>1</v>
      </c>
    </row>
    <row r="16" spans="1:34" ht="27.6" x14ac:dyDescent="0.25">
      <c r="A16" s="35" t="str">
        <f>IFERROR(INDEX('G-8 Condition Look up'!$I$4:$I$135,MATCH(F16,'G-8 Condition Look up'!$A$4:$A$135,0)),"")</f>
        <v>Cond2</v>
      </c>
      <c r="C16" s="299" t="str">
        <f>IFERROR(INDEX('G-1 All Habitats'!$AG$3:$AG$17,MATCH(D16,'G-1 All Habitats'!$AF$3:$AF$17,0)),"")</f>
        <v>Urban</v>
      </c>
      <c r="D16" s="54" t="s">
        <v>129</v>
      </c>
      <c r="E16" s="61" t="s">
        <v>696</v>
      </c>
      <c r="F16" s="296" t="str">
        <f>IFERROR(INDEX('G-1 All Habitats'!$B$3:$B$134,MATCH(E16,'G-1 All Habitats'!$A$3:$A$134,0)),"")</f>
        <v>Urban - Developed land; sealed surface</v>
      </c>
      <c r="G16" s="53">
        <v>8.7799999999999989E-2</v>
      </c>
      <c r="H16" s="362" t="str">
        <f>IF(F16="","",VLOOKUP(F16,'G-1 All Habitats'!$B$2:$M$134,10,FALSE))</f>
        <v>V.Low</v>
      </c>
      <c r="I16" s="363">
        <f>IFERROR(VLOOKUP(H16,'G-1 All Habitats'!$V$3:$W$7,2,FALSE),"")</f>
        <v>0</v>
      </c>
      <c r="J16" s="54" t="s">
        <v>496</v>
      </c>
      <c r="K16" s="363">
        <f>IFERROR(INDEX('G-8 Condition Look up'!$A$3:$H$135,MATCH(F16,'G-8 Condition Look up'!$A$3:$A$135,0),MATCH(J16,'G-8 Condition Look up'!$A$3:$H$3,0)),"")</f>
        <v>0</v>
      </c>
      <c r="L16" s="54" t="s">
        <v>1034</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0</v>
      </c>
      <c r="P16" s="63">
        <v>0</v>
      </c>
      <c r="Q16" s="63">
        <v>0</v>
      </c>
      <c r="R16" s="370" t="str">
        <f t="shared" si="2"/>
        <v>Standard time to target condition applied</v>
      </c>
      <c r="S16" s="383">
        <f t="shared" si="3"/>
        <v>0</v>
      </c>
      <c r="T16" s="384">
        <f>IFERROR(IF(S16="Check Data ⚠","Check Data ⚠",VLOOKUP(S16,'G-4 Temporal multipliers'!$A$4:$C$37,3,FALSE)),"")</f>
        <v>1</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Medium</v>
      </c>
      <c r="X16" s="386">
        <f>IFERROR(IF(E16="","",VLOOKUP(W16, 'G-3 Multipliers'!$P$2:$Q$6,2,FALSE)),"")</f>
        <v>0.67</v>
      </c>
      <c r="Y16" s="390">
        <f t="shared" si="4"/>
        <v>0</v>
      </c>
      <c r="Z16" s="194"/>
      <c r="AA16" s="195"/>
      <c r="AB16" s="120"/>
      <c r="AE16" s="40" t="str">
        <f t="shared" si="0"/>
        <v>Not Possible</v>
      </c>
    </row>
    <row r="17" spans="1:31" x14ac:dyDescent="0.25">
      <c r="A17" s="35" t="str">
        <f>IFERROR(INDEX('G-8 Condition Look up'!$I$4:$I$135,MATCH(F17,'G-8 Condition Look up'!$A$4:$A$135,0)),"")</f>
        <v/>
      </c>
      <c r="C17" s="299" t="str">
        <f>IFERROR(INDEX('G-1 All Habitats'!$AG$3:$AG$17,MATCH(D17,'G-1 All Habitats'!$AF$3:$AF$17,0)),"")</f>
        <v/>
      </c>
      <c r="D17" s="54"/>
      <c r="E17" s="61"/>
      <c r="F17" s="296" t="str">
        <f>IFERROR(INDEX('G-1 All Habitats'!$B$3:$B$134,MATCH(E17,'G-1 All Habitats'!$A$3:$A$134,0)),"")</f>
        <v/>
      </c>
      <c r="G17" s="53"/>
      <c r="H17" s="362" t="str">
        <f>IF(F17="","",VLOOKUP(F17,'G-1 All Habitats'!$B$2:$M$134,10,FALSE))</f>
        <v/>
      </c>
      <c r="I17" s="363" t="str">
        <f>IFERROR(VLOOKUP(H17,'G-1 All Habitats'!$V$3:$W$7,2,FALSE),"")</f>
        <v/>
      </c>
      <c r="J17" s="54"/>
      <c r="K17" s="363" t="str">
        <f>IFERROR(INDEX('G-8 Condition Look up'!$A$3:$H$135,MATCH(F17,'G-8 Condition Look up'!$A$3:$A$135,0),MATCH(J17,'G-8 Condition Look up'!$A$3:$H$3,0)),"")</f>
        <v/>
      </c>
      <c r="L17" s="54"/>
      <c r="M17" s="370" t="str">
        <f>IF(L17="","",IF(VLOOKUP(L17,'G-3 Multipliers'!$L$3:$N$6,2,FALSE)=0,"Spatial Data Missing",VLOOKUP(L17,'G-3 Multipliers'!$L$3:$N$6,2,FALSE)))</f>
        <v/>
      </c>
      <c r="N17" s="368" t="str">
        <f>IF(L17="","",IF(VLOOKUP(L17,'G-3 Multipliers'!$L$3:$N$6,3,FALSE)=0,"Spatial Data Missing",VLOOKUP(L17,'G-3 Multipliers'!$L$3:$N$6,3,FALSE)))</f>
        <v/>
      </c>
      <c r="O17" s="362" t="str">
        <f t="shared" si="1"/>
        <v/>
      </c>
      <c r="P17" s="63"/>
      <c r="Q17" s="63"/>
      <c r="R17" s="370" t="str">
        <f t="shared" si="2"/>
        <v/>
      </c>
      <c r="S17" s="383" t="str">
        <f t="shared" si="3"/>
        <v/>
      </c>
      <c r="T17" s="384"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losses",P17&gt;=O17),"Low",VLOOKUP(F17,'G-3 Multipliers'!$A$2:$E$134,4,FALSE))))</f>
        <v/>
      </c>
      <c r="X17" s="386" t="str">
        <f>IFERROR(IF(E17="","",VLOOKUP(W17, 'G-3 Multipliers'!$P$2:$Q$6,2,FALSE)),"")</f>
        <v/>
      </c>
      <c r="Y17" s="390" t="str">
        <f t="shared" si="4"/>
        <v/>
      </c>
      <c r="Z17" s="194"/>
      <c r="AA17" s="195"/>
      <c r="AB17" s="120"/>
      <c r="AE17" s="40" t="str">
        <f t="shared" si="0"/>
        <v/>
      </c>
    </row>
    <row r="18" spans="1:31" x14ac:dyDescent="0.25">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x14ac:dyDescent="0.25">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x14ac:dyDescent="0.25">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x14ac:dyDescent="0.25">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x14ac:dyDescent="0.25">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x14ac:dyDescent="0.25">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x14ac:dyDescent="0.25">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x14ac:dyDescent="0.25">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x14ac:dyDescent="0.25">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x14ac:dyDescent="0.25">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x14ac:dyDescent="0.25">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x14ac:dyDescent="0.25">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x14ac:dyDescent="0.25">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x14ac:dyDescent="0.25">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x14ac:dyDescent="0.25">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x14ac:dyDescent="0.25">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x14ac:dyDescent="0.25">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x14ac:dyDescent="0.25">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x14ac:dyDescent="0.25">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x14ac:dyDescent="0.25">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x14ac:dyDescent="0.25">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x14ac:dyDescent="0.25">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x14ac:dyDescent="0.25">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x14ac:dyDescent="0.25">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x14ac:dyDescent="0.25">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x14ac:dyDescent="0.25">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x14ac:dyDescent="0.25">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x14ac:dyDescent="0.25">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x14ac:dyDescent="0.25">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x14ac:dyDescent="0.25">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x14ac:dyDescent="0.25">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x14ac:dyDescent="0.25">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x14ac:dyDescent="0.25">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x14ac:dyDescent="0.25">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x14ac:dyDescent="0.25">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x14ac:dyDescent="0.25">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x14ac:dyDescent="0.25">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x14ac:dyDescent="0.25">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x14ac:dyDescent="0.25">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x14ac:dyDescent="0.25">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x14ac:dyDescent="0.25">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x14ac:dyDescent="0.25">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x14ac:dyDescent="0.25">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x14ac:dyDescent="0.25">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x14ac:dyDescent="0.25">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x14ac:dyDescent="0.25">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x14ac:dyDescent="0.25">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x14ac:dyDescent="0.25">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x14ac:dyDescent="0.25">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x14ac:dyDescent="0.25">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x14ac:dyDescent="0.25">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x14ac:dyDescent="0.25">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x14ac:dyDescent="0.25">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x14ac:dyDescent="0.25">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x14ac:dyDescent="0.25">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x14ac:dyDescent="0.25">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x14ac:dyDescent="0.25">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x14ac:dyDescent="0.25">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x14ac:dyDescent="0.25">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x14ac:dyDescent="0.25">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x14ac:dyDescent="0.25">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x14ac:dyDescent="0.25">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x14ac:dyDescent="0.25">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x14ac:dyDescent="0.25">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x14ac:dyDescent="0.25">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x14ac:dyDescent="0.25">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x14ac:dyDescent="0.25">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x14ac:dyDescent="0.25">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x14ac:dyDescent="0.25">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x14ac:dyDescent="0.25">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x14ac:dyDescent="0.25">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x14ac:dyDescent="0.25">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x14ac:dyDescent="0.25">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x14ac:dyDescent="0.25">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x14ac:dyDescent="0.25">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x14ac:dyDescent="0.25">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x14ac:dyDescent="0.25">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x14ac:dyDescent="0.25">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x14ac:dyDescent="0.25">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x14ac:dyDescent="0.25">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x14ac:dyDescent="0.25">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x14ac:dyDescent="0.25">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x14ac:dyDescent="0.25">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x14ac:dyDescent="0.25">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x14ac:dyDescent="0.25">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x14ac:dyDescent="0.25">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x14ac:dyDescent="0.25">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x14ac:dyDescent="0.25">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x14ac:dyDescent="0.25">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x14ac:dyDescent="0.25">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x14ac:dyDescent="0.25">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x14ac:dyDescent="0.25">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x14ac:dyDescent="0.25">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x14ac:dyDescent="0.25">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x14ac:dyDescent="0.25">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x14ac:dyDescent="0.25">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x14ac:dyDescent="0.25">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x14ac:dyDescent="0.25">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x14ac:dyDescent="0.25">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x14ac:dyDescent="0.25">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x14ac:dyDescent="0.25">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x14ac:dyDescent="0.25">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x14ac:dyDescent="0.25">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x14ac:dyDescent="0.25">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x14ac:dyDescent="0.25">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x14ac:dyDescent="0.25">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x14ac:dyDescent="0.25">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x14ac:dyDescent="0.25">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x14ac:dyDescent="0.25">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x14ac:dyDescent="0.25">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x14ac:dyDescent="0.25">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x14ac:dyDescent="0.25">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x14ac:dyDescent="0.25">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x14ac:dyDescent="0.25">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x14ac:dyDescent="0.25">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x14ac:dyDescent="0.25">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x14ac:dyDescent="0.25">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x14ac:dyDescent="0.25">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x14ac:dyDescent="0.25">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x14ac:dyDescent="0.25">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x14ac:dyDescent="0.25">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x14ac:dyDescent="0.25">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x14ac:dyDescent="0.25">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x14ac:dyDescent="0.25">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x14ac:dyDescent="0.25">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x14ac:dyDescent="0.25">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x14ac:dyDescent="0.25">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x14ac:dyDescent="0.25">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x14ac:dyDescent="0.25">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x14ac:dyDescent="0.25">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x14ac:dyDescent="0.25">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x14ac:dyDescent="0.25">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x14ac:dyDescent="0.25">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x14ac:dyDescent="0.25">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x14ac:dyDescent="0.25">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x14ac:dyDescent="0.25">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x14ac:dyDescent="0.25">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x14ac:dyDescent="0.25">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x14ac:dyDescent="0.25">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x14ac:dyDescent="0.25">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x14ac:dyDescent="0.25">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x14ac:dyDescent="0.25">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x14ac:dyDescent="0.25">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x14ac:dyDescent="0.25">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x14ac:dyDescent="0.25">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x14ac:dyDescent="0.25">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x14ac:dyDescent="0.25">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x14ac:dyDescent="0.25">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x14ac:dyDescent="0.25">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x14ac:dyDescent="0.25">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x14ac:dyDescent="0.25">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x14ac:dyDescent="0.25">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x14ac:dyDescent="0.25">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x14ac:dyDescent="0.25">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x14ac:dyDescent="0.25">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x14ac:dyDescent="0.25">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x14ac:dyDescent="0.25">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x14ac:dyDescent="0.25">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x14ac:dyDescent="0.25">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x14ac:dyDescent="0.25">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x14ac:dyDescent="0.25">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x14ac:dyDescent="0.25">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x14ac:dyDescent="0.25">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x14ac:dyDescent="0.25">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x14ac:dyDescent="0.25">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x14ac:dyDescent="0.25">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x14ac:dyDescent="0.25">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x14ac:dyDescent="0.25">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x14ac:dyDescent="0.25">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x14ac:dyDescent="0.25">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x14ac:dyDescent="0.25">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x14ac:dyDescent="0.25">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x14ac:dyDescent="0.25">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x14ac:dyDescent="0.25">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x14ac:dyDescent="0.25">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x14ac:dyDescent="0.25">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x14ac:dyDescent="0.25">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x14ac:dyDescent="0.25">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x14ac:dyDescent="0.25">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x14ac:dyDescent="0.25">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x14ac:dyDescent="0.25">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x14ac:dyDescent="0.25">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x14ac:dyDescent="0.25">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x14ac:dyDescent="0.25">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x14ac:dyDescent="0.25">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x14ac:dyDescent="0.25">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x14ac:dyDescent="0.25">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x14ac:dyDescent="0.25">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x14ac:dyDescent="0.25">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x14ac:dyDescent="0.25">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x14ac:dyDescent="0.25">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x14ac:dyDescent="0.25">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x14ac:dyDescent="0.25">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x14ac:dyDescent="0.25">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x14ac:dyDescent="0.25">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x14ac:dyDescent="0.25">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x14ac:dyDescent="0.25">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x14ac:dyDescent="0.25">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x14ac:dyDescent="0.25">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x14ac:dyDescent="0.25">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x14ac:dyDescent="0.25">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x14ac:dyDescent="0.25">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x14ac:dyDescent="0.25">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x14ac:dyDescent="0.25">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x14ac:dyDescent="0.25">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x14ac:dyDescent="0.25">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x14ac:dyDescent="0.25">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x14ac:dyDescent="0.25">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x14ac:dyDescent="0.25">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x14ac:dyDescent="0.25">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x14ac:dyDescent="0.25">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x14ac:dyDescent="0.25">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x14ac:dyDescent="0.25">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x14ac:dyDescent="0.25">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x14ac:dyDescent="0.25">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x14ac:dyDescent="0.25">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x14ac:dyDescent="0.25">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x14ac:dyDescent="0.25">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x14ac:dyDescent="0.25">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x14ac:dyDescent="0.25">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x14ac:dyDescent="0.25">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x14ac:dyDescent="0.25">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x14ac:dyDescent="0.25">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x14ac:dyDescent="0.25">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x14ac:dyDescent="0.25">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x14ac:dyDescent="0.25">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x14ac:dyDescent="0.25">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x14ac:dyDescent="0.25">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x14ac:dyDescent="0.25">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x14ac:dyDescent="0.25">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x14ac:dyDescent="0.25">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x14ac:dyDescent="0.25">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x14ac:dyDescent="0.25">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x14ac:dyDescent="0.25">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x14ac:dyDescent="0.25">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x14ac:dyDescent="0.25">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x14ac:dyDescent="0.25">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x14ac:dyDescent="0.25">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 thickBot="1" x14ac:dyDescent="0.3">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 thickBot="1" x14ac:dyDescent="0.3">
      <c r="E257" s="811" t="s">
        <v>329</v>
      </c>
      <c r="F257" s="266" t="s">
        <v>330</v>
      </c>
      <c r="G257" s="403">
        <f>SUM(G11:G256)</f>
        <v>0.41009999999999996</v>
      </c>
      <c r="T257" s="66"/>
      <c r="U257" s="66"/>
      <c r="V257" s="66"/>
      <c r="W257" s="66"/>
      <c r="X257" s="132" t="s">
        <v>331</v>
      </c>
      <c r="Y257" s="381">
        <f>SUM(Y11:Y256)</f>
        <v>1.8778748186564795</v>
      </c>
    </row>
    <row r="258" spans="5:25" ht="14.4" thickBot="1" x14ac:dyDescent="0.3"/>
    <row r="259" spans="5:25" ht="14.4" thickBot="1" x14ac:dyDescent="0.3">
      <c r="E259" s="515" t="s">
        <v>305</v>
      </c>
      <c r="G259" s="366">
        <f>IF('Detailed Results'!$K$40&gt;0,"Error",SUMIFS($G$11:$G$256,$F$11:$F$256,"&lt;&gt;"&amp;'G-1 All Habitats'!B80,$F$11:$F$256,"&lt;&gt;"&amp;'G-1 All Habitats'!B81,$F$11:$F$256,"&lt;&gt;"&amp;'G-1 All Habitats'!B67,$F$11:$F$256,"&lt;&gt;"&amp;'G-1 All Habitats'!B68, $F$11:$F$256,"&lt;&gt;"&amp;'G-1 All Habitats'!B81))</f>
        <v>0.41009999999999996</v>
      </c>
    </row>
    <row r="260" spans="5:25" ht="14.4" thickBot="1" x14ac:dyDescent="0.3"/>
    <row r="261" spans="5:25" ht="14.4" thickBot="1" x14ac:dyDescent="0.3">
      <c r="E261" s="1465" t="s">
        <v>307</v>
      </c>
      <c r="F261" s="36"/>
      <c r="G261" s="597" t="s">
        <v>308</v>
      </c>
      <c r="H261" s="551" t="s">
        <v>309</v>
      </c>
      <c r="I261" s="1419" t="s">
        <v>310</v>
      </c>
      <c r="J261" s="1420"/>
    </row>
    <row r="262" spans="5:25" ht="15" customHeight="1" thickBot="1" x14ac:dyDescent="0.3">
      <c r="E262" s="1466"/>
      <c r="F262" s="36"/>
      <c r="G262" s="553"/>
      <c r="H262" s="552" t="str">
        <f>IF(G261="Hectares",G262,IF(G261="M²",G262/10000,""))</f>
        <v/>
      </c>
      <c r="I262" s="1421" t="str">
        <f>IF(G261="M²",G262,IF(G261="Hectares",G262*10000,""))</f>
        <v/>
      </c>
      <c r="J262" s="1422"/>
    </row>
    <row r="263" spans="5:25" x14ac:dyDescent="0.25">
      <c r="E263" s="35"/>
    </row>
    <row r="264" spans="5:25" x14ac:dyDescent="0.25">
      <c r="E264" s="35"/>
    </row>
    <row r="265" spans="5:25" x14ac:dyDescent="0.25">
      <c r="E265" s="35"/>
    </row>
    <row r="266" spans="5:25" x14ac:dyDescent="0.25">
      <c r="E266" s="35"/>
    </row>
  </sheetData>
  <sheetProtection algorithmName="SHA-512" hashValue="yUyfI5LNvhT48Q4EVJtFjASkiIuwgcB7shIF6M0hlBMCejZYgk13996vqcTfSd8G2BiXZ4XgwuUo11Wmb4t9iA==" saltValue="n20BEoe2IgvKQGbVWU/CcQ=="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s>
  <conditionalFormatting sqref="E257">
    <cfRule type="containsText" dxfId="508" priority="22" operator="containsText" text="Error">
      <formula>NOT(ISERROR(SEARCH("Error",E257)))</formula>
    </cfRule>
    <cfRule type="containsText" dxfId="507" priority="23" operator="containsText" text="Check">
      <formula>NOT(ISERROR(SEARCH("Check",E257)))</formula>
    </cfRule>
  </conditionalFormatting>
  <conditionalFormatting sqref="H7:L7">
    <cfRule type="containsText" dxfId="506" priority="3" operator="containsText" text="⚠">
      <formula>NOT(ISERROR(SEARCH("⚠",H7)))</formula>
    </cfRule>
  </conditionalFormatting>
  <conditionalFormatting sqref="K3">
    <cfRule type="containsText" dxfId="505" priority="14" operator="containsText" text="Error">
      <formula>NOT(ISERROR(SEARCH("Error",K3)))</formula>
    </cfRule>
    <cfRule type="containsText" dxfId="504" priority="15" operator="containsText" text="Check">
      <formula>NOT(ISERROR(SEARCH("Check",K3)))</formula>
    </cfRule>
  </conditionalFormatting>
  <conditionalFormatting sqref="K4">
    <cfRule type="containsText" dxfId="503" priority="2" operator="containsText" text="Check">
      <formula>NOT(ISERROR(SEARCH("Check",K4)))</formula>
    </cfRule>
    <cfRule type="containsText" dxfId="502" priority="9" operator="containsText" text="Error">
      <formula>NOT(ISERROR(SEARCH("Error",K4)))</formula>
    </cfRule>
    <cfRule type="cellIs" dxfId="501" priority="10" operator="equal">
      <formula>0</formula>
    </cfRule>
  </conditionalFormatting>
  <conditionalFormatting sqref="K5">
    <cfRule type="containsText" dxfId="498" priority="7" operator="containsText" text="No">
      <formula>NOT(ISERROR(SEARCH("No",K5)))</formula>
    </cfRule>
    <cfRule type="containsText" dxfId="497" priority="8" operator="containsText" text="Yes">
      <formula>NOT(ISERROR(SEARCH("Yes",K5)))</formula>
    </cfRule>
  </conditionalFormatting>
  <conditionalFormatting sqref="K6">
    <cfRule type="containsText" dxfId="496" priority="5" operator="containsText" text=" 🗸">
      <formula>NOT(ISERROR(SEARCH(" 🗸",K6)))</formula>
    </cfRule>
    <cfRule type="containsText" dxfId="495" priority="6" operator="containsText" text="▲">
      <formula>NOT(ISERROR(SEARCH("▲",K6)))</formula>
    </cfRule>
  </conditionalFormatting>
  <conditionalFormatting sqref="K11:K256">
    <cfRule type="cellIs" dxfId="494" priority="53" operator="equal">
      <formula>"Not Possible"</formula>
    </cfRule>
  </conditionalFormatting>
  <conditionalFormatting sqref="K3:L6">
    <cfRule type="containsText" dxfId="493" priority="1" operator="containsText" text="N/A">
      <formula>NOT(ISERROR(SEARCH("N/A",K3)))</formula>
    </cfRule>
  </conditionalFormatting>
  <conditionalFormatting sqref="K4:L4">
    <cfRule type="cellIs" dxfId="492" priority="11" operator="lessThan">
      <formula>0</formula>
    </cfRule>
  </conditionalFormatting>
  <conditionalFormatting sqref="N2">
    <cfRule type="containsText" dxfId="491" priority="28" operator="containsText" text="Note">
      <formula>NOT(ISERROR(SEARCH("Note",N2)))</formula>
    </cfRule>
  </conditionalFormatting>
  <conditionalFormatting sqref="N4">
    <cfRule type="containsText" dxfId="490" priority="27" operator="containsText" text="Check">
      <formula>NOT(ISERROR(SEARCH("Check",N4)))</formula>
    </cfRule>
  </conditionalFormatting>
  <conditionalFormatting sqref="O11:O256">
    <cfRule type="containsText" dxfId="489" priority="34" operator="containsText" text="30+">
      <formula>NOT(ISERROR(SEARCH("30+",O11)))</formula>
    </cfRule>
  </conditionalFormatting>
  <conditionalFormatting sqref="R12:X256 R11:Y11 X12:Y257">
    <cfRule type="containsText" dxfId="488" priority="29" operator="containsText" text="Error">
      <formula>NOT(ISERROR(SEARCH("Error",R11)))</formula>
    </cfRule>
  </conditionalFormatting>
  <conditionalFormatting sqref="R11:Y11 R12:X256 X12:Y257">
    <cfRule type="containsText" dxfId="487" priority="32" operator="containsText" text="Check">
      <formula>NOT(ISERROR(SEARCH("Check",R11)))</formula>
    </cfRule>
  </conditionalFormatting>
  <conditionalFormatting sqref="S11:S256">
    <cfRule type="containsText" dxfId="486" priority="35" operator="containsText" text="30+">
      <formula>NOT(ISERROR(SEARCH("30+",S11)))</formula>
    </cfRule>
  </conditionalFormatting>
  <conditionalFormatting sqref="S2:X5">
    <cfRule type="containsText" dxfId="485" priority="4" operator="containsText" text="Check">
      <formula>NOT(ISERROR(SEARCH("Check",S2)))</formula>
    </cfRule>
  </conditionalFormatting>
  <conditionalFormatting sqref="T255">
    <cfRule type="containsText" dxfId="484" priority="26" operator="containsText" text="30+">
      <formula>NOT(ISERROR(SEARCH("30+",T255)))</formula>
    </cfRule>
  </conditionalFormatting>
  <conditionalFormatting sqref="V11:V256">
    <cfRule type="cellIs" dxfId="483" priority="24" operator="equal">
      <formula>"No - Enhancement difficulty applied"</formula>
    </cfRule>
    <cfRule type="containsText" dxfId="482" priority="30"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3" operator="lessThan" id="{0B505358-DF53-46B7-974A-183E1924519F}">
            <xm:f>Start!$F$22</xm:f>
            <x14:dxf>
              <font>
                <color rgb="FF383745"/>
              </font>
              <fill>
                <patternFill>
                  <bgColor rgb="FFFFC000"/>
                </patternFill>
              </fill>
            </x14:dxf>
          </x14:cfRule>
          <x14:cfRule type="cellIs" priority="424"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6"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7"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0" zoomScaleNormal="80" workbookViewId="0">
      <pane ySplit="11" topLeftCell="A12" activePane="bottomLeft" state="frozen"/>
      <selection pane="bottomLeft" activeCell="E1" sqref="E1"/>
    </sheetView>
  </sheetViews>
  <sheetFormatPr defaultColWidth="8.77734375" defaultRowHeight="13.8" zeroHeight="1" x14ac:dyDescent="0.25"/>
  <cols>
    <col min="1" max="1" width="19.5546875" style="35" hidden="1" customWidth="1"/>
    <col min="2" max="2" width="16.44140625" style="35" hidden="1" customWidth="1"/>
    <col min="3" max="3" width="10.44140625" style="35" hidden="1" customWidth="1"/>
    <col min="4" max="4" width="15.5546875" style="35" hidden="1" customWidth="1"/>
    <col min="5" max="5" width="11.21875" style="35" customWidth="1"/>
    <col min="6" max="6" width="57.77734375" style="35" customWidth="1"/>
    <col min="7" max="7" width="13.21875" style="35" customWidth="1"/>
    <col min="8" max="9" width="17.77734375" style="35" customWidth="1"/>
    <col min="10" max="10" width="18.21875" style="35" customWidth="1"/>
    <col min="11" max="12" width="19.21875" style="35" customWidth="1"/>
    <col min="13" max="13" width="20.21875" style="35" customWidth="1"/>
    <col min="14" max="14" width="19.21875" style="35" customWidth="1"/>
    <col min="15" max="15" width="34" style="35" customWidth="1"/>
    <col min="16" max="16" width="22.44140625" style="35" hidden="1" customWidth="1"/>
    <col min="17" max="17" width="34" style="35" customWidth="1"/>
    <col min="18" max="18" width="73" style="35" customWidth="1"/>
    <col min="19" max="19" width="61.21875" style="35" hidden="1" customWidth="1"/>
    <col min="20" max="21" width="34.21875" style="35" customWidth="1"/>
    <col min="22" max="22" width="14" style="35" customWidth="1"/>
    <col min="23" max="23" width="18.44140625" style="35" customWidth="1"/>
    <col min="24" max="24" width="13.21875" style="35" customWidth="1"/>
    <col min="25" max="25" width="12.77734375" style="35" customWidth="1"/>
    <col min="26" max="26" width="12.5546875" style="35" customWidth="1"/>
    <col min="27" max="27" width="41.77734375" style="35" customWidth="1"/>
    <col min="28" max="28" width="15.44140625" style="35" customWidth="1"/>
    <col min="29" max="29" width="12.21875" style="35" customWidth="1"/>
    <col min="30" max="30" width="18.21875" style="35" customWidth="1"/>
    <col min="31" max="31" width="20.77734375" style="35" customWidth="1"/>
    <col min="32" max="32" width="22.77734375" style="35" customWidth="1"/>
    <col min="33" max="33" width="33.21875" style="35" customWidth="1"/>
    <col min="34" max="34" width="19.5546875" style="35" customWidth="1"/>
    <col min="35" max="35" width="15.21875" style="35" customWidth="1"/>
    <col min="36" max="36" width="17.5546875" style="35" customWidth="1"/>
    <col min="37" max="37" width="29.44140625" style="35" customWidth="1"/>
    <col min="38" max="38" width="17.21875" style="35" customWidth="1"/>
    <col min="39" max="39" width="14.5546875" style="35" customWidth="1"/>
    <col min="40" max="40" width="12.77734375" style="35" customWidth="1"/>
    <col min="41" max="41" width="40.21875" style="35" customWidth="1"/>
    <col min="42" max="42" width="42.21875" style="35" customWidth="1"/>
    <col min="43" max="43" width="14.77734375" style="35" customWidth="1"/>
    <col min="44" max="55" width="8.77734375" style="35" customWidth="1"/>
    <col min="56" max="16384" width="8.77734375" style="35"/>
  </cols>
  <sheetData>
    <row r="1" spans="1:43" ht="14.4" thickBot="1" x14ac:dyDescent="0.3"/>
    <row r="2" spans="1:43" ht="19.5" customHeight="1" thickBot="1" x14ac:dyDescent="0.35">
      <c r="E2" s="1448" t="str">
        <f>CONCATENATE("Project Name:", " ", Start!F12, "     ", "Map Reference:", " ", Start!K55)</f>
        <v xml:space="preserve">Project Name: Broadfield Park Slopes (‘The Slopes’), The Esplanade, Rochdale, OL16 1AQ     Map Reference: </v>
      </c>
      <c r="F2" s="1489"/>
      <c r="G2" s="1449"/>
      <c r="R2" s="1404" t="s">
        <v>262</v>
      </c>
      <c r="S2" s="1405"/>
      <c r="T2" s="1405"/>
      <c r="U2" s="1406"/>
      <c r="V2" s="1498" t="str" cm="1">
        <f t="array" ref="V2">IF(OR(Y12:Y257 = "Fairly Good", Y12:Y257 = "Fairly Poor"),"A 'Fairly' Category has been used - check evidence to ensure this is appropriate ⚠", "")</f>
        <v/>
      </c>
      <c r="W2" s="1498"/>
      <c r="X2" s="1498"/>
      <c r="Y2" s="1498"/>
      <c r="Z2" s="1498"/>
      <c r="AA2" s="1498"/>
      <c r="AD2" s="1497" t="str">
        <f>IF(OR(COUNTIF($AD$12:AD257,"*30+*")&gt;0,COUNTIF(AH12:AH257,"*30+*")&gt;0),"Note; Habitat selected has a time to target condition greater than 30 years. Non standard agreement may be required.","")</f>
        <v/>
      </c>
      <c r="AE2" s="1497"/>
      <c r="AF2" s="1497"/>
      <c r="AG2" s="1497"/>
      <c r="AH2" s="1497"/>
      <c r="AI2" s="1497"/>
    </row>
    <row r="3" spans="1:43" ht="13.2" customHeight="1" x14ac:dyDescent="0.25">
      <c r="E3" s="1490" t="str">
        <f ca="1">MID(CELL("filename",D1),FIND("]",CELL("filename",D1))+1,256)</f>
        <v>A-3 On-Site Habitat Enhancement</v>
      </c>
      <c r="F3" s="1491"/>
      <c r="G3" s="1492"/>
      <c r="R3" s="1442" t="s">
        <v>263</v>
      </c>
      <c r="S3" s="1443"/>
      <c r="T3" s="1501">
        <f>'Headline Results'!H47</f>
        <v>-4.3556251813435223</v>
      </c>
      <c r="U3" s="1502"/>
      <c r="V3" s="1498"/>
      <c r="W3" s="1498"/>
      <c r="X3" s="1498"/>
      <c r="Y3" s="1498"/>
      <c r="Z3" s="1498"/>
      <c r="AA3" s="1498"/>
      <c r="AD3" s="1497"/>
      <c r="AE3" s="1497"/>
      <c r="AF3" s="1497"/>
      <c r="AG3" s="1497"/>
      <c r="AH3" s="1497"/>
      <c r="AI3" s="1497"/>
    </row>
    <row r="4" spans="1:43" ht="15.75" customHeight="1" thickBot="1" x14ac:dyDescent="0.35">
      <c r="E4" s="1450"/>
      <c r="F4" s="1493"/>
      <c r="G4" s="1451"/>
      <c r="H4" s="189" t="str">
        <f>IF(G4="","",IF(ISNA(VLOOKUP($E4,'A-1 On-Site Habitat Baseline'!$D$1:$O$258,3,FALSE)),"",(VLOOKUP($E4,'A-1 On-Site Habitat Baseline'!$D$1:$O$258,3,FALSE))))</f>
        <v/>
      </c>
      <c r="R4" s="1444" t="s">
        <v>265</v>
      </c>
      <c r="S4" s="1445"/>
      <c r="T4" s="1503">
        <f>'Headline Results'!H51</f>
        <v>-0.50089298888919165</v>
      </c>
      <c r="U4" s="1504"/>
      <c r="V4" s="1498"/>
      <c r="W4" s="1498"/>
      <c r="X4" s="1498"/>
      <c r="Y4" s="1498"/>
      <c r="Z4" s="1498"/>
      <c r="AA4" s="1498"/>
      <c r="AD4" s="330"/>
      <c r="AE4" s="330"/>
      <c r="AF4" s="330"/>
      <c r="AG4" s="330"/>
      <c r="AK4" s="190"/>
      <c r="AL4" s="190"/>
      <c r="AM4" s="190"/>
    </row>
    <row r="5" spans="1:43" ht="15" customHeight="1" thickBot="1" x14ac:dyDescent="0.3">
      <c r="R5" s="1446" t="s">
        <v>267</v>
      </c>
      <c r="S5" s="1440"/>
      <c r="T5" s="1440" t="str" cm="1">
        <f t="array" ref="T5">IF(OR('Trading Summary Area Habitats'!G5:G8="No ▲"), "No - check trading summaries ▲", "Yes ✓")</f>
        <v>No - check trading summaries ▲</v>
      </c>
      <c r="U5" s="1441"/>
      <c r="V5" s="1498"/>
      <c r="W5" s="1498"/>
      <c r="X5" s="1498"/>
      <c r="Y5" s="1498"/>
      <c r="Z5" s="1498"/>
      <c r="AA5" s="1498"/>
      <c r="AD5" s="1497" t="str">
        <f>IF(Q12&lt;&gt;A12,"Change in broad habitat type detected. Check compliance with guidance.","")</f>
        <v/>
      </c>
      <c r="AE5" s="1497"/>
      <c r="AF5" s="1497"/>
      <c r="AG5" s="1497"/>
      <c r="AH5" s="1497"/>
      <c r="AI5" s="1497"/>
    </row>
    <row r="6" spans="1:43" ht="15.75" customHeight="1" x14ac:dyDescent="0.25">
      <c r="R6" s="1499" t="str" cm="1">
        <f t="array" ref="R6">IF(OR(Q11:Q258="watercourse footprint"),"Please ensure the watercourse details for any watercourse footprints recorded are included in the watercourse tabs ⚠", "")</f>
        <v/>
      </c>
      <c r="S6" s="1499"/>
      <c r="T6" s="1499"/>
      <c r="AD6" s="1497"/>
      <c r="AE6" s="1497"/>
      <c r="AF6" s="1497"/>
      <c r="AG6" s="1497"/>
      <c r="AH6" s="1497"/>
      <c r="AI6" s="1497"/>
    </row>
    <row r="7" spans="1:43" x14ac:dyDescent="0.25">
      <c r="E7" s="36"/>
      <c r="F7" s="36"/>
      <c r="R7" s="1499"/>
      <c r="S7" s="1499"/>
      <c r="T7" s="1499"/>
    </row>
    <row r="8" spans="1:43" ht="18" customHeight="1" thickBot="1" x14ac:dyDescent="0.3">
      <c r="R8" s="1500"/>
      <c r="S8" s="1500"/>
      <c r="T8" s="1500"/>
    </row>
    <row r="9" spans="1:43" ht="15.6" customHeight="1" thickBot="1" x14ac:dyDescent="0.3">
      <c r="F9" s="41"/>
      <c r="G9" s="41"/>
      <c r="H9" s="41"/>
      <c r="I9" s="41"/>
      <c r="J9" s="41"/>
      <c r="K9" s="41"/>
      <c r="L9" s="41"/>
      <c r="M9" s="41"/>
      <c r="N9" s="41"/>
      <c r="O9" s="41"/>
      <c r="P9" s="41"/>
      <c r="Q9" s="1458" t="s">
        <v>311</v>
      </c>
      <c r="R9" s="1459"/>
      <c r="S9" s="1459"/>
      <c r="T9" s="1459"/>
      <c r="U9" s="1459"/>
      <c r="V9" s="1459"/>
      <c r="W9" s="1459"/>
      <c r="X9" s="1459"/>
      <c r="Y9" s="1459"/>
      <c r="Z9" s="1459"/>
      <c r="AA9" s="1459"/>
      <c r="AB9" s="1459"/>
      <c r="AC9" s="1459"/>
      <c r="AD9" s="1459"/>
      <c r="AE9" s="1459"/>
      <c r="AF9" s="1459"/>
      <c r="AG9" s="1459"/>
      <c r="AH9" s="1459"/>
      <c r="AI9" s="1459"/>
      <c r="AJ9" s="1459"/>
      <c r="AK9" s="1459"/>
      <c r="AL9" s="1459"/>
      <c r="AM9" s="1460"/>
    </row>
    <row r="10" spans="1:43" ht="28.2" customHeight="1" thickBot="1" x14ac:dyDescent="0.3">
      <c r="F10" s="1458" t="s">
        <v>332</v>
      </c>
      <c r="G10" s="1459"/>
      <c r="H10" s="1459"/>
      <c r="I10" s="1459"/>
      <c r="J10" s="1459"/>
      <c r="K10" s="1459"/>
      <c r="L10" s="1459"/>
      <c r="M10" s="1459"/>
      <c r="N10" s="1459"/>
      <c r="O10" s="1460"/>
      <c r="P10" s="191"/>
      <c r="Q10" s="1494" t="s">
        <v>333</v>
      </c>
      <c r="R10" s="1495"/>
      <c r="S10" s="308"/>
      <c r="T10" s="1496" t="s">
        <v>334</v>
      </c>
      <c r="U10" s="1495"/>
      <c r="V10" s="1507" t="s">
        <v>335</v>
      </c>
      <c r="W10" s="1487" t="s">
        <v>269</v>
      </c>
      <c r="X10" s="1487" t="s">
        <v>286</v>
      </c>
      <c r="Y10" s="1487" t="s">
        <v>270</v>
      </c>
      <c r="Z10" s="1488" t="s">
        <v>286</v>
      </c>
      <c r="AA10" s="1505" t="s">
        <v>271</v>
      </c>
      <c r="AB10" s="1506"/>
      <c r="AC10" s="1506"/>
      <c r="AD10" s="1487" t="s">
        <v>336</v>
      </c>
      <c r="AE10" s="1487"/>
      <c r="AF10" s="1487"/>
      <c r="AG10" s="1487"/>
      <c r="AH10" s="1487"/>
      <c r="AI10" s="1487"/>
      <c r="AJ10" s="1487" t="s">
        <v>337</v>
      </c>
      <c r="AK10" s="1487"/>
      <c r="AL10" s="1487"/>
      <c r="AM10" s="1488"/>
      <c r="AN10" s="1413" t="s">
        <v>316</v>
      </c>
      <c r="AO10" s="1494" t="s">
        <v>276</v>
      </c>
      <c r="AP10" s="1495"/>
    </row>
    <row r="11" spans="1:43" s="37" customFormat="1" ht="60" customHeight="1" thickBot="1" x14ac:dyDescent="0.3">
      <c r="A11" s="302" t="s">
        <v>282</v>
      </c>
      <c r="B11" s="302" t="s">
        <v>338</v>
      </c>
      <c r="C11" s="302" t="s">
        <v>280</v>
      </c>
      <c r="E11" s="286" t="s">
        <v>339</v>
      </c>
      <c r="F11" s="290" t="s">
        <v>340</v>
      </c>
      <c r="G11" s="290" t="s">
        <v>341</v>
      </c>
      <c r="H11" s="290" t="s">
        <v>342</v>
      </c>
      <c r="I11" s="290" t="s">
        <v>343</v>
      </c>
      <c r="J11" s="290" t="s">
        <v>344</v>
      </c>
      <c r="K11" s="290" t="s">
        <v>345</v>
      </c>
      <c r="L11" s="290" t="s">
        <v>346</v>
      </c>
      <c r="M11" s="290" t="s">
        <v>347</v>
      </c>
      <c r="N11" s="290" t="s">
        <v>348</v>
      </c>
      <c r="O11" s="288" t="s">
        <v>272</v>
      </c>
      <c r="P11" s="284" t="s">
        <v>349</v>
      </c>
      <c r="Q11" s="297" t="s">
        <v>350</v>
      </c>
      <c r="R11" s="59" t="s">
        <v>313</v>
      </c>
      <c r="S11" s="285" t="s">
        <v>313</v>
      </c>
      <c r="T11" s="287" t="s">
        <v>351</v>
      </c>
      <c r="U11" s="289" t="s">
        <v>352</v>
      </c>
      <c r="V11" s="1508"/>
      <c r="W11" s="1511"/>
      <c r="X11" s="1511"/>
      <c r="Y11" s="1511"/>
      <c r="Z11" s="1510"/>
      <c r="AA11" s="297" t="s">
        <v>271</v>
      </c>
      <c r="AB11" s="303" t="s">
        <v>271</v>
      </c>
      <c r="AC11" s="304" t="s">
        <v>317</v>
      </c>
      <c r="AD11" s="297" t="s">
        <v>318</v>
      </c>
      <c r="AE11" s="305" t="s">
        <v>353</v>
      </c>
      <c r="AF11" s="305" t="s">
        <v>354</v>
      </c>
      <c r="AG11" s="305" t="s">
        <v>321</v>
      </c>
      <c r="AH11" s="305" t="s">
        <v>322</v>
      </c>
      <c r="AI11" s="298" t="s">
        <v>323</v>
      </c>
      <c r="AJ11" s="297" t="s">
        <v>355</v>
      </c>
      <c r="AK11" s="305" t="s">
        <v>325</v>
      </c>
      <c r="AL11" s="305" t="s">
        <v>356</v>
      </c>
      <c r="AM11" s="307" t="s">
        <v>327</v>
      </c>
      <c r="AN11" s="1509"/>
      <c r="AO11" s="287" t="s">
        <v>295</v>
      </c>
      <c r="AP11" s="289" t="s">
        <v>296</v>
      </c>
      <c r="AQ11" s="48" t="s">
        <v>297</v>
      </c>
    </row>
    <row r="12" spans="1:43" x14ac:dyDescent="0.25">
      <c r="A12" s="35" t="str">
        <f>IF(E12="","",IF(ISNA(VLOOKUP($E12,'A-1 On-Site Habitat Baseline'!$D$1:$O$258,2,FALSE)),"",(VLOOKUP($E12,'A-1 On-Site Habitat Baseline'!$D$1:$O$258,2,FALSE))))</f>
        <v/>
      </c>
      <c r="B12" s="35" t="str">
        <f>IF(E12="","",IF(ISNA(VLOOKUP($E12,'A-1 On-Site Habitat Baseline'!$D$1:$O$258,3,FALSE)),"",(VLOOKUP($E12,'A-1 On-Site Habitat Baseline'!$D$1:$O$258,3,FALSE))))</f>
        <v/>
      </c>
      <c r="C12" s="35" t="str">
        <f>IFERROR(INDEX('G-8 Condition Look up'!$I$4:$I$135,MATCH(S12,'G-8 Condition Look up'!$A$4:$A$135,0)),"")</f>
        <v/>
      </c>
      <c r="E12" s="392" t="str">
        <f>'A-1 On-Site Habitat Baseline'!AL11</f>
        <v/>
      </c>
      <c r="F12" s="382" t="str">
        <f>IF(E12="","",IF(ISNA(VLOOKUP($E12,'A-1 On-Site Habitat Baseline'!$D$1:$O$258,4,FALSE)),"",(VLOOKUP($E12,'A-1 On-Site Habitat Baseline'!$D$1:$O$258,4,FALSE))))</f>
        <v/>
      </c>
      <c r="G12" s="382" t="str">
        <f>IF(E12="","",IF(ISNA(VLOOKUP($E12,'A-1 On-Site Habitat Baseline'!$D$1:$O$258,5,FALSE)),"",(VLOOKUP($E12,'A-1 On-Site Habitat Baseline'!$D$1:$O$258,5,FALSE))))</f>
        <v/>
      </c>
      <c r="H12" s="382" t="str">
        <f>IF(E12="","",IF(ISNA(VLOOKUP($E12,'A-1 On-Site Habitat Baseline'!$D$1:$O$258,6,FALSE)),"",(VLOOKUP($E12,'A-1 On-Site Habitat Baseline'!$D$1:$O$258,6,FALSE))))</f>
        <v/>
      </c>
      <c r="I12" s="382" t="str">
        <f>IF(E12="","",IF(ISNA(VLOOKUP($E12,'A-1 On-Site Habitat Baseline'!$D$1:$O$258,7,FALSE)),"",(VLOOKUP($E12,'A-1 On-Site Habitat Baseline'!$D$1:$O$258,7,FALSE))))</f>
        <v/>
      </c>
      <c r="J12" s="382" t="str">
        <f>IF(E12="","",IF(ISNA(VLOOKUP($E12,'A-1 On-Site Habitat Baseline'!$D$1:$O$258,8,FALSE)),"",(VLOOKUP($E12,'A-1 On-Site Habitat Baseline'!$D$1:$O$258,8,FALSE))))</f>
        <v/>
      </c>
      <c r="K12" s="382" t="str">
        <f>IF(E12="","",IF(ISNA(VLOOKUP($E12,'A-1 On-Site Habitat Baseline'!$D$1:$O$258,9,FALSE)),"",(VLOOKUP($E12,'A-1 On-Site Habitat Baseline'!$D$1:$O$258,9,FALSE))))</f>
        <v/>
      </c>
      <c r="L12" s="382" t="str">
        <f>IF(E12="","",IF(ISNA(VLOOKUP($E12,'A-1 On-Site Habitat Baseline'!$D$1:$O$258,11,FALSE)),"",(VLOOKUP($E12,'A-1 On-Site Habitat Baseline'!$D$1:$O$258,11,FALSE))))</f>
        <v/>
      </c>
      <c r="M12" s="382" t="str">
        <f>IF(E12="","",IF(ISNA(VLOOKUP($E12,'A-1 On-Site Habitat Baseline'!$D$1:$O$258,12,FALSE)),"",(VLOOKUP($E12,'A-1 On-Site Habitat Baseline'!$D$1:$O$258,12,FALSE))))</f>
        <v/>
      </c>
      <c r="N12" s="393" t="str">
        <f>IF(E12="","",IF(ISNA(VLOOKUP($E12,'A-1 On-Site Habitat Baseline'!$D$1:$X$258,14,FALSE)),"",(VLOOKUP($E12,'A-1 On-Site Habitat Baseline'!$D$1:$X$258,14,FALSE))))</f>
        <v/>
      </c>
      <c r="O12" s="386" t="str">
        <f>IF(E12="","",IF(ISNA(VLOOKUP($E12,'A-1 On-Site Habitat Baseline'!$D$1:$X$258,16,FALSE)),"",(VLOOKUP($E12,'A-1 On-Site Habitat Baseline'!$D$1:$X$258,13,FALSE))))</f>
        <v/>
      </c>
      <c r="P12" s="192" t="str">
        <f>IFERROR(INDEX('G-1 All Habitats'!$AG$3:$AG$17,MATCH(Q12,'G-1 All Habitats'!$AF$3:$AF$17,0)),"")</f>
        <v/>
      </c>
      <c r="Q12" s="193" t="str">
        <f t="shared" ref="Q12:Q76" si="0">A12</f>
        <v/>
      </c>
      <c r="R12" s="193" t="str">
        <f t="shared" ref="R12:R76" si="1">B12</f>
        <v/>
      </c>
      <c r="S12" s="306" t="str">
        <f>IFERROR(INDEX('G-1 All Habitats'!$B$3:$B$134,MATCH(R12,'G-1 All Habitats'!$A$3:$A$134,0)),"")</f>
        <v/>
      </c>
      <c r="T12" s="362"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
      </c>
      <c r="V12" s="398" t="str">
        <f>IF(S12="","",VLOOKUP(E12,BaselineHabSite,17,FALSE))</f>
        <v/>
      </c>
      <c r="W12" s="382" t="str">
        <f>IF(S12="","",VLOOKUP(S12,'G-1 All Habitats'!$B$2:$M$134,10,FALSE))</f>
        <v/>
      </c>
      <c r="X12" s="382" t="str">
        <f>IFERROR(VLOOKUP(W12,'G-1 All Habitats'!$V$3:$W$7,2,FALSE),"")</f>
        <v/>
      </c>
      <c r="Y12" s="61"/>
      <c r="Z12" s="386" t="str">
        <f>IFERROR(INDEX('G-8 Condition Look up'!$A$3:$H$135,MATCH(S12,'G-8 Condition Look up'!$A$3:$A$135,0),MATCH(Y12,'G-8 Condition Look up'!$A$3:$H$3,0)),"")</f>
        <v/>
      </c>
      <c r="AA12" s="54"/>
      <c r="AB12" s="382" t="str">
        <f>IF(AA12="","",IF(VLOOKUP(AA12,'G-3 Multipliers'!$L$3:$N$6,2,FALSE)=0,"Spatial Data Missing ⚠",VLOOKUP(AA12,'G-3 Multipliers'!$L$3:$N$6,2,FALSE)))</f>
        <v/>
      </c>
      <c r="AC12" s="386" t="str">
        <f>IF(AA12="","",IF(VLOOKUP(AA12,'G-3 Multipliers'!$L$3:$N$6,3,FALSE)=0,"Spatial Data Missing ⚠",VLOOKUP(AA12,'G-3 Multipliers'!$L$3:$N$6,3,FALSE)))</f>
        <v/>
      </c>
      <c r="AD12" s="400" t="str">
        <f t="shared" ref="AD12:AD75" si="2">IFERROR(IF(OR(LEFT(U12,5)="Error",LEFT(T12,5)="Error"),"Check Data ⚠",INDEX(EnhanceTemporal,MATCH(S12,EnhanceHabitat,0),MATCH(U12,EnhanceCondition,0))),"")</f>
        <v/>
      </c>
      <c r="AE12" s="63"/>
      <c r="AF12" s="63"/>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 ⚠","Standard difficulty applied"))</f>
        <v/>
      </c>
      <c r="AL12" s="370" t="str">
        <f>(IF(AND(AK12="Standard difficulty applied",AD12&gt;AE12),AJ12,IF(AND(AK12="Low Difficulty - only applicable if all habitat created before losses ⚠",AE12&gt;=AD12),"Low", AJ12)))</f>
        <v/>
      </c>
      <c r="AM12" s="401" t="str">
        <f>IFERROR(IF(F12="","",IF(AH12="Check Data ⚠","Check Data ⚠",VLOOKUP(AL12, 'G-3 Multipliers'!$P$2:$Q$6,2,FALSE))),"")</f>
        <v/>
      </c>
      <c r="AN12" s="376" t="str">
        <f>IFERROR(((((V12*X12*Z12)-(V12*I12*K12))*(AM12*AI12))+(V12*I12*K12))*(AC12),"")</f>
        <v/>
      </c>
      <c r="AO12" s="194"/>
      <c r="AP12" s="195"/>
      <c r="AQ12" s="684"/>
    </row>
    <row r="13" spans="1:43" x14ac:dyDescent="0.25">
      <c r="A13" s="35" t="str">
        <f>IF(E13="","",IF(ISNA(VLOOKUP($E13,'A-1 On-Site Habitat Baseline'!$D$1:$O$258,2,FALSE)),"",(VLOOKUP($E13,'A-1 On-Site Habitat Baseline'!$D$1:$O$258,2,FALSE))))</f>
        <v/>
      </c>
      <c r="B13" s="35" t="str">
        <f>IF(E13="","",IF(ISNA(VLOOKUP($E13,'A-1 On-Site Habitat Baseline'!$D$1:$O$258,3,FALSE)),"",(VLOOKUP($E13,'A-1 On-Site Habitat Baseline'!$D$1:$O$258,3,FALSE))))</f>
        <v/>
      </c>
      <c r="C13" s="35" t="str">
        <f>IFERROR(INDEX('G-8 Condition Look up'!$I$4:$I$135,MATCH(S13,'G-8 Condition Look up'!$A$4:$A$135,0)),"")</f>
        <v/>
      </c>
      <c r="E13" s="392" t="str">
        <f>'A-1 On-Site Habitat Baseline'!AL12</f>
        <v/>
      </c>
      <c r="F13" s="382" t="str">
        <f>IF(E13="","",IF(ISNA(VLOOKUP($E13,'A-1 On-Site Habitat Baseline'!$D$1:$O$258,4,FALSE)),"",(VLOOKUP($E13,'A-1 On-Site Habitat Baseline'!$D$1:$O$258,4,FALSE))))</f>
        <v/>
      </c>
      <c r="G13" s="382" t="str">
        <f>IF(E13="","",IF(ISNA(VLOOKUP($E13,'A-1 On-Site Habitat Baseline'!$D$1:$O$258,5,FALSE)),"",(VLOOKUP($E13,'A-1 On-Site Habitat Baseline'!$D$1:$O$258,5,FALSE))))</f>
        <v/>
      </c>
      <c r="H13" s="382" t="str">
        <f>IF(E13="","",IF(ISNA(VLOOKUP($E13,'A-1 On-Site Habitat Baseline'!$D$1:$O$258,6,FALSE)),"",(VLOOKUP($E13,'A-1 On-Site Habitat Baseline'!$D$1:$O$258,6,FALSE))))</f>
        <v/>
      </c>
      <c r="I13" s="382" t="str">
        <f>IF(E13="","",IF(ISNA(VLOOKUP($E13,'A-1 On-Site Habitat Baseline'!$D$1:$O$258,7,FALSE)),"",(VLOOKUP($E13,'A-1 On-Site Habitat Baseline'!$D$1:$O$258,7,FALSE))))</f>
        <v/>
      </c>
      <c r="J13" s="382" t="str">
        <f>IF(E13="","",IF(ISNA(VLOOKUP($E13,'A-1 On-Site Habitat Baseline'!$D$1:$O$258,8,FALSE)),"",(VLOOKUP($E13,'A-1 On-Site Habitat Baseline'!$D$1:$O$258,8,FALSE))))</f>
        <v/>
      </c>
      <c r="K13" s="382" t="str">
        <f>IF(E13="","",IF(ISNA(VLOOKUP($E13,'A-1 On-Site Habitat Baseline'!$D$1:$O$258,9,FALSE)),"",(VLOOKUP($E13,'A-1 On-Site Habitat Baseline'!$D$1:$O$258,9,FALSE))))</f>
        <v/>
      </c>
      <c r="L13" s="382" t="str">
        <f>IF(E13="","",IF(ISNA(VLOOKUP($E13,'A-1 On-Site Habitat Baseline'!$D$1:$O$258,11,FALSE)),"",(VLOOKUP($E13,'A-1 On-Site Habitat Baseline'!$D$1:$O$258,11,FALSE))))</f>
        <v/>
      </c>
      <c r="M13" s="382" t="str">
        <f>IF(E13="","",IF(ISNA(VLOOKUP($E13,'A-1 On-Site Habitat Baseline'!$D$1:$O$258,12,FALSE)),"",(VLOOKUP($E13,'A-1 On-Site Habitat Baseline'!$D$1:$O$258,12,FALSE))))</f>
        <v/>
      </c>
      <c r="N13" s="393" t="str">
        <f>IF(E13="","",IF(ISNA(VLOOKUP($E13,'A-1 On-Site Habitat Baseline'!$D$1:$X$258,14,FALSE)),"",(VLOOKUP($E13,'A-1 On-Site Habitat Baseline'!$D$1:$X$258,14,FALSE))))</f>
        <v/>
      </c>
      <c r="O13" s="386" t="str">
        <f>IF(E13="","",IF(ISNA(VLOOKUP($E13,'A-1 On-Site Habitat Baseline'!$D$1:$X$258,16,FALSE)),"",(VLOOKUP($E13,'A-1 On-Site Habitat Baseline'!$D$1:$X$258,13,FALSE))))</f>
        <v/>
      </c>
      <c r="P13" s="192" t="str">
        <f>IFERROR(INDEX('G-1 All Habitats'!$AG$3:$AG$17,MATCH(Q13,'G-1 All Habitats'!$AF$3:$AF$17,0)),"")</f>
        <v/>
      </c>
      <c r="Q13" s="193" t="str">
        <f t="shared" si="0"/>
        <v/>
      </c>
      <c r="R13" s="193" t="str">
        <f t="shared" si="1"/>
        <v/>
      </c>
      <c r="S13" s="306" t="str">
        <f>IFERROR(INDEX('G-1 All Habitats'!$B$3:$B$134,MATCH(R13,'G-1 All Habitats'!$A$3:$A$134,0)),"")</f>
        <v/>
      </c>
      <c r="T13" s="362"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63" t="str">
        <f t="shared" ref="U13:U76" si="4">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
      </c>
      <c r="V13" s="398" t="str">
        <f t="shared" ref="V13:V75" si="5">IF(S13="","",VLOOKUP(E13,BaselineHabSite,17,FALSE))</f>
        <v/>
      </c>
      <c r="W13" s="382" t="str">
        <f>IF(S13="","",VLOOKUP(S13,'G-1 All Habitats'!$B$2:$M$134,10,FALSE))</f>
        <v/>
      </c>
      <c r="X13" s="382" t="str">
        <f>IFERROR(VLOOKUP(W13,'G-1 All Habitats'!$V$3:$W$7,2,FALSE),"")</f>
        <v/>
      </c>
      <c r="Y13" s="61"/>
      <c r="Z13" s="386" t="str">
        <f>IFERROR(INDEX('G-8 Condition Look up'!$A$3:$H$135,MATCH(S13,'G-8 Condition Look up'!$A$3:$A$135,0),MATCH(Y13,'G-8 Condition Look up'!$A$3:$H$3,0)),"")</f>
        <v/>
      </c>
      <c r="AA13" s="54"/>
      <c r="AB13" s="382" t="str">
        <f>IF(AA13="","",IF(VLOOKUP(AA13,'G-3 Multipliers'!$L$3:$N$6,2,FALSE)=0,"Spatial Data Missing ⚠",VLOOKUP(AA13,'G-3 Multipliers'!$L$3:$N$6,2,FALSE)))</f>
        <v/>
      </c>
      <c r="AC13" s="386" t="str">
        <f>IF(AA13="","",IF(VLOOKUP(AA13,'G-3 Multipliers'!$L$3:$N$6,3,FALSE)=0,"Spatial Data Missing ⚠",VLOOKUP(AA13,'G-3 Multipliers'!$L$3:$N$6,3,FALSE)))</f>
        <v/>
      </c>
      <c r="AD13" s="400" t="str">
        <f t="shared" si="2"/>
        <v/>
      </c>
      <c r="AE13" s="63"/>
      <c r="AF13" s="63"/>
      <c r="AG13" s="370"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383" t="str">
        <f t="shared" ref="AH13:AH76" si="7">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384" t="str">
        <f>IF(AH13="Check Data","Check Data",IFERROR(VLOOKUP(AH13,'G-4 Temporal multipliers'!$A$4:$C$36,3,FALSE),""))</f>
        <v/>
      </c>
      <c r="AJ13" s="362" t="str">
        <f>IF(S13="","",VLOOKUP(S13,'G-3 Multipliers'!$A$2:$E$134,4,FALSE))</f>
        <v/>
      </c>
      <c r="AK13" s="370" t="str">
        <f t="shared" ref="AK13:AK76" si="8">IF(E13="","",IF(AG13="Check details - Is there evidence that habitat has reached target condition? ⚠","Low Difficulty - only applicable if all habitat created before losses ⚠","Standard difficulty applied"))</f>
        <v/>
      </c>
      <c r="AL13" s="370" t="str">
        <f t="shared" ref="AL13:AL76" si="9">(IF(AND(AK13="Standard difficulty applied",AD13&gt;AE13),AJ13,IF(AND(AK13="Low Difficulty - only applicable if all habitat created before losses ⚠",AE13&gt;=AD13),"Low", AJ13)))</f>
        <v/>
      </c>
      <c r="AM13" s="401" t="str">
        <f>IFERROR(IF(F13="","",IF(AH13="Check Data ⚠","Check Data ⚠",VLOOKUP(AL13, 'G-3 Multipliers'!$P$2:$Q$6,2,FALSE))),"")</f>
        <v/>
      </c>
      <c r="AN13" s="376" t="str">
        <f t="shared" ref="AN13:AN76" si="10">IFERROR(((((V13*X13*Z13)-(V13*I13*K13))*(AM13*AI13))+(V13*I13*K13))*(AC13),"")</f>
        <v/>
      </c>
      <c r="AO13" s="194"/>
      <c r="AP13" s="195"/>
      <c r="AQ13" s="685"/>
    </row>
    <row r="14" spans="1:43" x14ac:dyDescent="0.25">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t="str">
        <f t="shared" si="0"/>
        <v/>
      </c>
      <c r="R14" s="193" t="str">
        <f t="shared" si="1"/>
        <v/>
      </c>
      <c r="S14" s="306" t="str">
        <f>IFERROR(INDEX('G-1 All Habitats'!$B$3:$B$134,MATCH(R14,'G-1 All Habitats'!$A$3:$A$134,0)),"")</f>
        <v/>
      </c>
      <c r="T14" s="362" t="str">
        <f t="shared" si="3"/>
        <v/>
      </c>
      <c r="U14" s="363" t="str">
        <f t="shared" si="4"/>
        <v/>
      </c>
      <c r="V14" s="398" t="str">
        <f t="shared" si="5"/>
        <v/>
      </c>
      <c r="W14" s="382" t="str">
        <f>IF(S14="","",VLOOKUP(S14,'G-1 All Habitats'!$B$2:$M$134,10,FALSE))</f>
        <v/>
      </c>
      <c r="X14" s="382" t="str">
        <f>IFERROR(VLOOKUP(W14,'G-1 All Habitats'!$V$3:$W$7,2,FALSE),"")</f>
        <v/>
      </c>
      <c r="Y14" s="61"/>
      <c r="Z14" s="386" t="str">
        <f>IFERROR(INDEX('G-8 Condition Look up'!$A$3:$H$135,MATCH(S14,'G-8 Condition Look up'!$A$3:$A$135,0),MATCH(Y14,'G-8 Condition Look up'!$A$3:$H$3,0)),"")</f>
        <v/>
      </c>
      <c r="AA14" s="54"/>
      <c r="AB14" s="382" t="str">
        <f>IF(AA14="","",IF(VLOOKUP(AA14,'G-3 Multipliers'!$L$3:$N$6,2,FALSE)=0,"Spatial Data Missing ⚠",VLOOKUP(AA14,'G-3 Multipliers'!$L$3:$N$6,2,FALSE)))</f>
        <v/>
      </c>
      <c r="AC14" s="386" t="str">
        <f>IF(AA14="","",IF(VLOOKUP(AA14,'G-3 Multipliers'!$L$3:$N$6,3,FALSE)=0,"Spatial Data Missing ⚠",VLOOKUP(AA14,'G-3 Multipliers'!$L$3:$N$6,3,FALSE)))</f>
        <v/>
      </c>
      <c r="AD14" s="400" t="str">
        <f t="shared" si="2"/>
        <v/>
      </c>
      <c r="AE14" s="63"/>
      <c r="AF14" s="63"/>
      <c r="AG14" s="370" t="str">
        <f t="shared" si="6"/>
        <v/>
      </c>
      <c r="AH14" s="383" t="str">
        <f t="shared" si="7"/>
        <v/>
      </c>
      <c r="AI14" s="384" t="str">
        <f>IF(AH14="Check Data","Check Data",IFERROR(VLOOKUP(AH14,'G-4 Temporal multipliers'!$A$4:$C$36,3,FALSE),""))</f>
        <v/>
      </c>
      <c r="AJ14" s="362" t="str">
        <f>IF(S14="","",VLOOKUP(S14,'G-3 Multipliers'!$A$2:$E$134,4,FALSE))</f>
        <v/>
      </c>
      <c r="AK14" s="370" t="str">
        <f t="shared" si="8"/>
        <v/>
      </c>
      <c r="AL14" s="370" t="str">
        <f t="shared" si="9"/>
        <v/>
      </c>
      <c r="AM14" s="401" t="str">
        <f>IFERROR(IF(F14="","",IF(AH14="Check Data ⚠","Check Data ⚠",VLOOKUP(AL14, 'G-3 Multipliers'!$P$2:$Q$6,2,FALSE))),"")</f>
        <v/>
      </c>
      <c r="AN14" s="376" t="str">
        <f t="shared" si="10"/>
        <v/>
      </c>
      <c r="AO14" s="194"/>
      <c r="AP14" s="195"/>
      <c r="AQ14" s="685"/>
    </row>
    <row r="15" spans="1:43" x14ac:dyDescent="0.25">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t="str">
        <f t="shared" si="0"/>
        <v/>
      </c>
      <c r="R15" s="193" t="str">
        <f t="shared" si="1"/>
        <v/>
      </c>
      <c r="S15" s="306" t="str">
        <f>IFERROR(INDEX('G-1 All Habitats'!$B$3:$B$134,MATCH(R15,'G-1 All Habitats'!$A$3:$A$134,0)),"")</f>
        <v/>
      </c>
      <c r="T15" s="362" t="str">
        <f t="shared" si="3"/>
        <v/>
      </c>
      <c r="U15" s="363" t="str">
        <f t="shared" si="4"/>
        <v/>
      </c>
      <c r="V15" s="398" t="str">
        <f t="shared" si="5"/>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2"/>
        <v/>
      </c>
      <c r="AE15" s="63"/>
      <c r="AF15" s="63"/>
      <c r="AG15" s="370" t="str">
        <f t="shared" si="6"/>
        <v/>
      </c>
      <c r="AH15" s="383" t="str">
        <f t="shared" si="7"/>
        <v/>
      </c>
      <c r="AI15" s="384" t="str">
        <f>IF(AH15="Check Data","Check Data",IFERROR(VLOOKUP(AH15,'G-4 Temporal multipliers'!$A$4:$C$36,3,FALSE),""))</f>
        <v/>
      </c>
      <c r="AJ15" s="362" t="str">
        <f>IF(S15="","",VLOOKUP(S15,'G-3 Multipliers'!$A$2:$E$134,4,FALSE))</f>
        <v/>
      </c>
      <c r="AK15" s="370" t="str">
        <f t="shared" si="8"/>
        <v/>
      </c>
      <c r="AL15" s="370" t="str">
        <f t="shared" si="9"/>
        <v/>
      </c>
      <c r="AM15" s="401" t="str">
        <f>IFERROR(IF(F15="","",IF(AH15="Check Data ⚠","Check Data ⚠",VLOOKUP(AL15, 'G-3 Multipliers'!$P$2:$Q$6,2,FALSE))),"")</f>
        <v/>
      </c>
      <c r="AN15" s="376" t="str">
        <f t="shared" si="10"/>
        <v/>
      </c>
      <c r="AO15" s="194"/>
      <c r="AP15" s="195"/>
      <c r="AQ15" s="685"/>
    </row>
    <row r="16" spans="1:43" x14ac:dyDescent="0.25">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t="str">
        <f t="shared" si="0"/>
        <v/>
      </c>
      <c r="R16" s="193" t="str">
        <f t="shared" si="1"/>
        <v/>
      </c>
      <c r="S16" s="306" t="str">
        <f>IFERROR(INDEX('G-1 All Habitats'!$B$3:$B$134,MATCH(R16,'G-1 All Habitats'!$A$3:$A$134,0)),"")</f>
        <v/>
      </c>
      <c r="T16" s="362" t="str">
        <f t="shared" si="3"/>
        <v/>
      </c>
      <c r="U16" s="363" t="str">
        <f t="shared" si="4"/>
        <v/>
      </c>
      <c r="V16" s="398" t="str">
        <f t="shared" si="5"/>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2"/>
        <v/>
      </c>
      <c r="AE16" s="63"/>
      <c r="AF16" s="63"/>
      <c r="AG16" s="370" t="str">
        <f t="shared" si="6"/>
        <v/>
      </c>
      <c r="AH16" s="383" t="str">
        <f t="shared" si="7"/>
        <v/>
      </c>
      <c r="AI16" s="384" t="str">
        <f>IF(AH16="Check Data","Check Data",IFERROR(VLOOKUP(AH16,'G-4 Temporal multipliers'!$A$4:$C$36,3,FALSE),""))</f>
        <v/>
      </c>
      <c r="AJ16" s="362" t="str">
        <f>IF(S16="","",VLOOKUP(S16,'G-3 Multipliers'!$A$2:$E$134,4,FALSE))</f>
        <v/>
      </c>
      <c r="AK16" s="370" t="str">
        <f t="shared" si="8"/>
        <v/>
      </c>
      <c r="AL16" s="370" t="str">
        <f t="shared" si="9"/>
        <v/>
      </c>
      <c r="AM16" s="401" t="str">
        <f>IFERROR(IF(F16="","",IF(AH16="Check Data ⚠","Check Data ⚠",VLOOKUP(AL16, 'G-3 Multipliers'!$P$2:$Q$6,2,FALSE))),"")</f>
        <v/>
      </c>
      <c r="AN16" s="376" t="str">
        <f t="shared" si="10"/>
        <v/>
      </c>
      <c r="AO16" s="194"/>
      <c r="AP16" s="195"/>
      <c r="AQ16" s="685"/>
    </row>
    <row r="17" spans="1:43" x14ac:dyDescent="0.25">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t="str">
        <f t="shared" si="0"/>
        <v/>
      </c>
      <c r="R17" s="193" t="str">
        <f t="shared" si="1"/>
        <v/>
      </c>
      <c r="S17" s="306" t="str">
        <f>IFERROR(INDEX('G-1 All Habitats'!$B$3:$B$134,MATCH(R17,'G-1 All Habitats'!$A$3:$A$134,0)),"")</f>
        <v/>
      </c>
      <c r="T17" s="362" t="str">
        <f t="shared" si="3"/>
        <v/>
      </c>
      <c r="U17" s="363" t="str">
        <f t="shared" si="4"/>
        <v/>
      </c>
      <c r="V17" s="398" t="str">
        <f t="shared" si="5"/>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2"/>
        <v/>
      </c>
      <c r="AE17" s="63"/>
      <c r="AF17" s="63"/>
      <c r="AG17" s="370" t="str">
        <f t="shared" si="6"/>
        <v/>
      </c>
      <c r="AH17" s="383" t="str">
        <f t="shared" si="7"/>
        <v/>
      </c>
      <c r="AI17" s="384" t="str">
        <f>IF(AH17="Check Data","Check Data",IFERROR(VLOOKUP(AH17,'G-4 Temporal multipliers'!$A$4:$C$36,3,FALSE),""))</f>
        <v/>
      </c>
      <c r="AJ17" s="362" t="str">
        <f>IF(S17="","",VLOOKUP(S17,'G-3 Multipliers'!$A$2:$E$134,4,FALSE))</f>
        <v/>
      </c>
      <c r="AK17" s="370" t="str">
        <f t="shared" si="8"/>
        <v/>
      </c>
      <c r="AL17" s="370" t="str">
        <f t="shared" si="9"/>
        <v/>
      </c>
      <c r="AM17" s="401" t="str">
        <f>IFERROR(IF(F17="","",IF(AH17="Check Data ⚠","Check Data ⚠",VLOOKUP(AL17, 'G-3 Multipliers'!$P$2:$Q$6,2,FALSE))),"")</f>
        <v/>
      </c>
      <c r="AN17" s="376" t="str">
        <f t="shared" si="10"/>
        <v/>
      </c>
      <c r="AO17" s="194"/>
      <c r="AP17" s="195"/>
      <c r="AQ17" s="685"/>
    </row>
    <row r="18" spans="1:43" x14ac:dyDescent="0.25">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t="str">
        <f t="shared" si="0"/>
        <v/>
      </c>
      <c r="R18" s="193" t="str">
        <f t="shared" si="1"/>
        <v/>
      </c>
      <c r="S18" s="306" t="str">
        <f>IFERROR(INDEX('G-1 All Habitats'!$B$3:$B$134,MATCH(R18,'G-1 All Habitats'!$A$3:$A$134,0)),"")</f>
        <v/>
      </c>
      <c r="T18" s="362" t="str">
        <f t="shared" si="3"/>
        <v/>
      </c>
      <c r="U18" s="363" t="str">
        <f t="shared" si="4"/>
        <v/>
      </c>
      <c r="V18" s="398" t="str">
        <f t="shared" si="5"/>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2"/>
        <v/>
      </c>
      <c r="AE18" s="63"/>
      <c r="AF18" s="63"/>
      <c r="AG18" s="370" t="str">
        <f t="shared" si="6"/>
        <v/>
      </c>
      <c r="AH18" s="383" t="str">
        <f t="shared" si="7"/>
        <v/>
      </c>
      <c r="AI18" s="384" t="str">
        <f>IF(AH18="Check Data","Check Data",IFERROR(VLOOKUP(AH18,'G-4 Temporal multipliers'!$A$4:$C$36,3,FALSE),""))</f>
        <v/>
      </c>
      <c r="AJ18" s="362" t="str">
        <f>IF(S18="","",VLOOKUP(S18,'G-3 Multipliers'!$A$2:$E$134,4,FALSE))</f>
        <v/>
      </c>
      <c r="AK18" s="370" t="str">
        <f t="shared" si="8"/>
        <v/>
      </c>
      <c r="AL18" s="370" t="str">
        <f t="shared" si="9"/>
        <v/>
      </c>
      <c r="AM18" s="401" t="str">
        <f>IFERROR(IF(F18="","",IF(AH18="Check Data ⚠","Check Data ⚠",VLOOKUP(AL18, 'G-3 Multipliers'!$P$2:$Q$6,2,FALSE))),"")</f>
        <v/>
      </c>
      <c r="AN18" s="376" t="str">
        <f t="shared" si="10"/>
        <v/>
      </c>
      <c r="AO18" s="194"/>
      <c r="AP18" s="195"/>
      <c r="AQ18" s="685"/>
    </row>
    <row r="19" spans="1:43" x14ac:dyDescent="0.25">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si="0"/>
        <v/>
      </c>
      <c r="R19" s="193" t="str">
        <f t="shared" si="1"/>
        <v/>
      </c>
      <c r="S19" s="306" t="str">
        <f>IFERROR(INDEX('G-1 All Habitats'!$B$3:$B$134,MATCH(R19,'G-1 All Habitats'!$A$3:$A$134,0)),"")</f>
        <v/>
      </c>
      <c r="T19" s="362" t="str">
        <f t="shared" si="3"/>
        <v/>
      </c>
      <c r="U19" s="363" t="str">
        <f t="shared" si="4"/>
        <v/>
      </c>
      <c r="V19" s="398" t="str">
        <f t="shared" si="5"/>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2"/>
        <v/>
      </c>
      <c r="AE19" s="63"/>
      <c r="AF19" s="63"/>
      <c r="AG19" s="370" t="str">
        <f t="shared" si="6"/>
        <v/>
      </c>
      <c r="AH19" s="383" t="str">
        <f t="shared" si="7"/>
        <v/>
      </c>
      <c r="AI19" s="384" t="str">
        <f>IF(AH19="Check Data","Check Data",IFERROR(VLOOKUP(AH19,'G-4 Temporal multipliers'!$A$4:$C$36,3,FALSE),""))</f>
        <v/>
      </c>
      <c r="AJ19" s="362" t="str">
        <f>IF(S19="","",VLOOKUP(S19,'G-3 Multipliers'!$A$2:$E$134,4,FALSE))</f>
        <v/>
      </c>
      <c r="AK19" s="370" t="str">
        <f t="shared" si="8"/>
        <v/>
      </c>
      <c r="AL19" s="370" t="str">
        <f t="shared" si="9"/>
        <v/>
      </c>
      <c r="AM19" s="401" t="str">
        <f>IFERROR(IF(F19="","",IF(AH19="Check Data ⚠","Check Data ⚠",VLOOKUP(AL19, 'G-3 Multipliers'!$P$2:$Q$6,2,FALSE))),"")</f>
        <v/>
      </c>
      <c r="AN19" s="376" t="str">
        <f t="shared" si="10"/>
        <v/>
      </c>
      <c r="AO19" s="194"/>
      <c r="AP19" s="195"/>
      <c r="AQ19" s="685"/>
    </row>
    <row r="20" spans="1:43" x14ac:dyDescent="0.25">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0"/>
        <v/>
      </c>
      <c r="R20" s="193" t="str">
        <f t="shared" si="1"/>
        <v/>
      </c>
      <c r="S20" s="306" t="str">
        <f>IFERROR(INDEX('G-1 All Habitats'!$B$3:$B$134,MATCH(R20,'G-1 All Habitats'!$A$3:$A$134,0)),"")</f>
        <v/>
      </c>
      <c r="T20" s="362" t="str">
        <f t="shared" si="3"/>
        <v/>
      </c>
      <c r="U20" s="363" t="str">
        <f t="shared" si="4"/>
        <v/>
      </c>
      <c r="V20" s="398" t="str">
        <f t="shared" si="5"/>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2"/>
        <v/>
      </c>
      <c r="AE20" s="63"/>
      <c r="AF20" s="63"/>
      <c r="AG20" s="370" t="str">
        <f t="shared" si="6"/>
        <v/>
      </c>
      <c r="AH20" s="383" t="str">
        <f t="shared" si="7"/>
        <v/>
      </c>
      <c r="AI20" s="384" t="str">
        <f>IF(AH20="Check Data","Check Data",IFERROR(VLOOKUP(AH20,'G-4 Temporal multipliers'!$A$4:$C$36,3,FALSE),""))</f>
        <v/>
      </c>
      <c r="AJ20" s="362" t="str">
        <f>IF(S20="","",VLOOKUP(S20,'G-3 Multipliers'!$A$2:$E$134,4,FALSE))</f>
        <v/>
      </c>
      <c r="AK20" s="370" t="str">
        <f t="shared" si="8"/>
        <v/>
      </c>
      <c r="AL20" s="370" t="str">
        <f t="shared" si="9"/>
        <v/>
      </c>
      <c r="AM20" s="401" t="str">
        <f>IFERROR(IF(F20="","",IF(AH20="Check Data ⚠","Check Data ⚠",VLOOKUP(AL20, 'G-3 Multipliers'!$P$2:$Q$6,2,FALSE))),"")</f>
        <v/>
      </c>
      <c r="AN20" s="376" t="str">
        <f t="shared" si="10"/>
        <v/>
      </c>
      <c r="AO20" s="194"/>
      <c r="AP20" s="195"/>
      <c r="AQ20" s="685"/>
    </row>
    <row r="21" spans="1:43" x14ac:dyDescent="0.25">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0"/>
        <v/>
      </c>
      <c r="R21" s="193" t="str">
        <f t="shared" si="1"/>
        <v/>
      </c>
      <c r="S21" s="306" t="str">
        <f>IFERROR(INDEX('G-1 All Habitats'!$B$3:$B$134,MATCH(R21,'G-1 All Habitats'!$A$3:$A$134,0)),"")</f>
        <v/>
      </c>
      <c r="T21" s="362" t="str">
        <f t="shared" si="3"/>
        <v/>
      </c>
      <c r="U21" s="363" t="str">
        <f t="shared" si="4"/>
        <v/>
      </c>
      <c r="V21" s="398" t="str">
        <f t="shared" si="5"/>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2"/>
        <v/>
      </c>
      <c r="AE21" s="63"/>
      <c r="AF21" s="63"/>
      <c r="AG21" s="370" t="str">
        <f t="shared" si="6"/>
        <v/>
      </c>
      <c r="AH21" s="383" t="str">
        <f t="shared" si="7"/>
        <v/>
      </c>
      <c r="AI21" s="384" t="str">
        <f>IF(AH21="Check Data","Check Data",IFERROR(VLOOKUP(AH21,'G-4 Temporal multipliers'!$A$4:$C$36,3,FALSE),""))</f>
        <v/>
      </c>
      <c r="AJ21" s="362" t="str">
        <f>IF(S21="","",VLOOKUP(S21,'G-3 Multipliers'!$A$2:$E$134,4,FALSE))</f>
        <v/>
      </c>
      <c r="AK21" s="370" t="str">
        <f t="shared" si="8"/>
        <v/>
      </c>
      <c r="AL21" s="370" t="str">
        <f t="shared" si="9"/>
        <v/>
      </c>
      <c r="AM21" s="401" t="str">
        <f>IFERROR(IF(F21="","",IF(AH21="Check Data ⚠","Check Data ⚠",VLOOKUP(AL21, 'G-3 Multipliers'!$P$2:$Q$6,2,FALSE))),"")</f>
        <v/>
      </c>
      <c r="AN21" s="376" t="str">
        <f t="shared" si="10"/>
        <v/>
      </c>
      <c r="AO21" s="194"/>
      <c r="AP21" s="195"/>
      <c r="AQ21" s="685"/>
    </row>
    <row r="22" spans="1:43" x14ac:dyDescent="0.25">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0"/>
        <v/>
      </c>
      <c r="R22" s="193" t="str">
        <f t="shared" si="1"/>
        <v/>
      </c>
      <c r="S22" s="306" t="str">
        <f>IFERROR(INDEX('G-1 All Habitats'!$B$3:$B$134,MATCH(R22,'G-1 All Habitats'!$A$3:$A$134,0)),"")</f>
        <v/>
      </c>
      <c r="T22" s="362" t="str">
        <f t="shared" si="3"/>
        <v/>
      </c>
      <c r="U22" s="363" t="str">
        <f t="shared" si="4"/>
        <v/>
      </c>
      <c r="V22" s="398" t="str">
        <f t="shared" si="5"/>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2"/>
        <v/>
      </c>
      <c r="AE22" s="63"/>
      <c r="AF22" s="63"/>
      <c r="AG22" s="370" t="str">
        <f t="shared" si="6"/>
        <v/>
      </c>
      <c r="AH22" s="383" t="str">
        <f t="shared" si="7"/>
        <v/>
      </c>
      <c r="AI22" s="384" t="str">
        <f>IF(AH22="Check Data","Check Data",IFERROR(VLOOKUP(AH22,'G-4 Temporal multipliers'!$A$4:$C$36,3,FALSE),""))</f>
        <v/>
      </c>
      <c r="AJ22" s="362" t="str">
        <f>IF(S22="","",VLOOKUP(S22,'G-3 Multipliers'!$A$2:$E$134,4,FALSE))</f>
        <v/>
      </c>
      <c r="AK22" s="370" t="str">
        <f t="shared" si="8"/>
        <v/>
      </c>
      <c r="AL22" s="370" t="str">
        <f t="shared" si="9"/>
        <v/>
      </c>
      <c r="AM22" s="401" t="str">
        <f>IFERROR(IF(F22="","",IF(AH22="Check Data ⚠","Check Data ⚠",VLOOKUP(AL22, 'G-3 Multipliers'!$P$2:$Q$6,2,FALSE))),"")</f>
        <v/>
      </c>
      <c r="AN22" s="376" t="str">
        <f t="shared" si="10"/>
        <v/>
      </c>
      <c r="AO22" s="194"/>
      <c r="AP22" s="195"/>
      <c r="AQ22" s="685"/>
    </row>
    <row r="23" spans="1:43" x14ac:dyDescent="0.25">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0"/>
        <v/>
      </c>
      <c r="R23" s="193" t="str">
        <f t="shared" si="1"/>
        <v/>
      </c>
      <c r="S23" s="306" t="str">
        <f>IFERROR(INDEX('G-1 All Habitats'!$B$3:$B$134,MATCH(R23,'G-1 All Habitats'!$A$3:$A$134,0)),"")</f>
        <v/>
      </c>
      <c r="T23" s="362" t="str">
        <f t="shared" si="3"/>
        <v/>
      </c>
      <c r="U23" s="363" t="str">
        <f t="shared" si="4"/>
        <v/>
      </c>
      <c r="V23" s="398" t="str">
        <f t="shared" si="5"/>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2"/>
        <v/>
      </c>
      <c r="AE23" s="63"/>
      <c r="AF23" s="63"/>
      <c r="AG23" s="370" t="str">
        <f t="shared" si="6"/>
        <v/>
      </c>
      <c r="AH23" s="383" t="str">
        <f t="shared" si="7"/>
        <v/>
      </c>
      <c r="AI23" s="384" t="str">
        <f>IF(AH23="Check Data","Check Data",IFERROR(VLOOKUP(AH23,'G-4 Temporal multipliers'!$A$4:$C$36,3,FALSE),""))</f>
        <v/>
      </c>
      <c r="AJ23" s="362" t="str">
        <f>IF(S23="","",VLOOKUP(S23,'G-3 Multipliers'!$A$2:$E$134,4,FALSE))</f>
        <v/>
      </c>
      <c r="AK23" s="370" t="str">
        <f t="shared" si="8"/>
        <v/>
      </c>
      <c r="AL23" s="370" t="str">
        <f t="shared" si="9"/>
        <v/>
      </c>
      <c r="AM23" s="401" t="str">
        <f>IFERROR(IF(F23="","",IF(AH23="Check Data ⚠","Check Data ⚠",VLOOKUP(AL23, 'G-3 Multipliers'!$P$2:$Q$6,2,FALSE))),"")</f>
        <v/>
      </c>
      <c r="AN23" s="376" t="str">
        <f t="shared" si="10"/>
        <v/>
      </c>
      <c r="AO23" s="194"/>
      <c r="AP23" s="195"/>
      <c r="AQ23" s="685"/>
    </row>
    <row r="24" spans="1:43" x14ac:dyDescent="0.25">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0"/>
        <v/>
      </c>
      <c r="R24" s="193" t="str">
        <f t="shared" si="1"/>
        <v/>
      </c>
      <c r="S24" s="306" t="str">
        <f>IFERROR(INDEX('G-1 All Habitats'!$B$3:$B$134,MATCH(R24,'G-1 All Habitats'!$A$3:$A$134,0)),"")</f>
        <v/>
      </c>
      <c r="T24" s="362" t="str">
        <f t="shared" si="3"/>
        <v/>
      </c>
      <c r="U24" s="363" t="str">
        <f t="shared" si="4"/>
        <v/>
      </c>
      <c r="V24" s="398" t="str">
        <f t="shared" si="5"/>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2"/>
        <v/>
      </c>
      <c r="AE24" s="63"/>
      <c r="AF24" s="63"/>
      <c r="AG24" s="370" t="str">
        <f t="shared" si="6"/>
        <v/>
      </c>
      <c r="AH24" s="383" t="str">
        <f t="shared" si="7"/>
        <v/>
      </c>
      <c r="AI24" s="384" t="str">
        <f>IF(AH24="Check Data","Check Data",IFERROR(VLOOKUP(AH24,'G-4 Temporal multipliers'!$A$4:$C$36,3,FALSE),""))</f>
        <v/>
      </c>
      <c r="AJ24" s="362" t="str">
        <f>IF(S24="","",VLOOKUP(S24,'G-3 Multipliers'!$A$2:$E$134,4,FALSE))</f>
        <v/>
      </c>
      <c r="AK24" s="370" t="str">
        <f t="shared" si="8"/>
        <v/>
      </c>
      <c r="AL24" s="370" t="str">
        <f t="shared" si="9"/>
        <v/>
      </c>
      <c r="AM24" s="401" t="str">
        <f>IFERROR(IF(F24="","",IF(AH24="Check Data ⚠","Check Data ⚠",VLOOKUP(AL24, 'G-3 Multipliers'!$P$2:$Q$6,2,FALSE))),"")</f>
        <v/>
      </c>
      <c r="AN24" s="376" t="str">
        <f t="shared" si="10"/>
        <v/>
      </c>
      <c r="AO24" s="194"/>
      <c r="AP24" s="195"/>
      <c r="AQ24" s="685"/>
    </row>
    <row r="25" spans="1:43" x14ac:dyDescent="0.25">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0"/>
        <v/>
      </c>
      <c r="R25" s="193" t="str">
        <f t="shared" si="1"/>
        <v/>
      </c>
      <c r="S25" s="306" t="str">
        <f>IFERROR(INDEX('G-1 All Habitats'!$B$3:$B$134,MATCH(R25,'G-1 All Habitats'!$A$3:$A$134,0)),"")</f>
        <v/>
      </c>
      <c r="T25" s="362" t="str">
        <f t="shared" si="3"/>
        <v/>
      </c>
      <c r="U25" s="363" t="str">
        <f t="shared" si="4"/>
        <v/>
      </c>
      <c r="V25" s="398" t="str">
        <f t="shared" si="5"/>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2"/>
        <v/>
      </c>
      <c r="AE25" s="63"/>
      <c r="AF25" s="63"/>
      <c r="AG25" s="370" t="str">
        <f t="shared" si="6"/>
        <v/>
      </c>
      <c r="AH25" s="383" t="str">
        <f t="shared" si="7"/>
        <v/>
      </c>
      <c r="AI25" s="384" t="str">
        <f>IF(AH25="Check Data","Check Data",IFERROR(VLOOKUP(AH25,'G-4 Temporal multipliers'!$A$4:$C$36,3,FALSE),""))</f>
        <v/>
      </c>
      <c r="AJ25" s="362" t="str">
        <f>IF(S25="","",VLOOKUP(S25,'G-3 Multipliers'!$A$2:$E$134,4,FALSE))</f>
        <v/>
      </c>
      <c r="AK25" s="370" t="str">
        <f t="shared" si="8"/>
        <v/>
      </c>
      <c r="AL25" s="370" t="str">
        <f t="shared" si="9"/>
        <v/>
      </c>
      <c r="AM25" s="401" t="str">
        <f>IFERROR(IF(F25="","",IF(AH25="Check Data ⚠","Check Data ⚠",VLOOKUP(AL25, 'G-3 Multipliers'!$P$2:$Q$6,2,FALSE))),"")</f>
        <v/>
      </c>
      <c r="AN25" s="376" t="str">
        <f t="shared" si="10"/>
        <v/>
      </c>
      <c r="AO25" s="194"/>
      <c r="AP25" s="195"/>
      <c r="AQ25" s="685"/>
    </row>
    <row r="26" spans="1:43" x14ac:dyDescent="0.25">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0"/>
        <v/>
      </c>
      <c r="R26" s="193" t="str">
        <f t="shared" si="1"/>
        <v/>
      </c>
      <c r="S26" s="306" t="str">
        <f>IFERROR(INDEX('G-1 All Habitats'!$B$3:$B$134,MATCH(R26,'G-1 All Habitats'!$A$3:$A$134,0)),"")</f>
        <v/>
      </c>
      <c r="T26" s="362" t="str">
        <f t="shared" si="3"/>
        <v/>
      </c>
      <c r="U26" s="363" t="str">
        <f t="shared" si="4"/>
        <v/>
      </c>
      <c r="V26" s="398" t="str">
        <f t="shared" si="5"/>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2"/>
        <v/>
      </c>
      <c r="AE26" s="63"/>
      <c r="AF26" s="63"/>
      <c r="AG26" s="370" t="str">
        <f t="shared" si="6"/>
        <v/>
      </c>
      <c r="AH26" s="383" t="str">
        <f t="shared" si="7"/>
        <v/>
      </c>
      <c r="AI26" s="384" t="str">
        <f>IF(AH26="Check Data","Check Data",IFERROR(VLOOKUP(AH26,'G-4 Temporal multipliers'!$A$4:$C$36,3,FALSE),""))</f>
        <v/>
      </c>
      <c r="AJ26" s="362" t="str">
        <f>IF(S26="","",VLOOKUP(S26,'G-3 Multipliers'!$A$2:$E$134,4,FALSE))</f>
        <v/>
      </c>
      <c r="AK26" s="370" t="str">
        <f t="shared" si="8"/>
        <v/>
      </c>
      <c r="AL26" s="370" t="str">
        <f t="shared" si="9"/>
        <v/>
      </c>
      <c r="AM26" s="401" t="str">
        <f>IFERROR(IF(F26="","",IF(AH26="Check Data ⚠","Check Data ⚠",VLOOKUP(AL26, 'G-3 Multipliers'!$P$2:$Q$6,2,FALSE))),"")</f>
        <v/>
      </c>
      <c r="AN26" s="376" t="str">
        <f t="shared" si="10"/>
        <v/>
      </c>
      <c r="AO26" s="194"/>
      <c r="AP26" s="195"/>
      <c r="AQ26" s="685"/>
    </row>
    <row r="27" spans="1:43" x14ac:dyDescent="0.25">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0"/>
        <v/>
      </c>
      <c r="R27" s="193" t="str">
        <f t="shared" si="1"/>
        <v/>
      </c>
      <c r="S27" s="306" t="str">
        <f>IFERROR(INDEX('G-1 All Habitats'!$B$3:$B$134,MATCH(R27,'G-1 All Habitats'!$A$3:$A$134,0)),"")</f>
        <v/>
      </c>
      <c r="T27" s="362" t="str">
        <f t="shared" si="3"/>
        <v/>
      </c>
      <c r="U27" s="363" t="str">
        <f t="shared" si="4"/>
        <v/>
      </c>
      <c r="V27" s="398" t="str">
        <f t="shared" si="5"/>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2"/>
        <v/>
      </c>
      <c r="AE27" s="63"/>
      <c r="AF27" s="63"/>
      <c r="AG27" s="370" t="str">
        <f t="shared" si="6"/>
        <v/>
      </c>
      <c r="AH27" s="383" t="str">
        <f t="shared" si="7"/>
        <v/>
      </c>
      <c r="AI27" s="384" t="str">
        <f>IF(AH27="Check Data","Check Data",IFERROR(VLOOKUP(AH27,'G-4 Temporal multipliers'!$A$4:$C$36,3,FALSE),""))</f>
        <v/>
      </c>
      <c r="AJ27" s="362" t="str">
        <f>IF(S27="","",VLOOKUP(S27,'G-3 Multipliers'!$A$2:$E$134,4,FALSE))</f>
        <v/>
      </c>
      <c r="AK27" s="370" t="str">
        <f t="shared" si="8"/>
        <v/>
      </c>
      <c r="AL27" s="370" t="str">
        <f t="shared" si="9"/>
        <v/>
      </c>
      <c r="AM27" s="401" t="str">
        <f>IFERROR(IF(F27="","",IF(AH27="Check Data ⚠","Check Data ⚠",VLOOKUP(AL27, 'G-3 Multipliers'!$P$2:$Q$6,2,FALSE))),"")</f>
        <v/>
      </c>
      <c r="AN27" s="376" t="str">
        <f t="shared" si="10"/>
        <v/>
      </c>
      <c r="AO27" s="194"/>
      <c r="AP27" s="195"/>
      <c r="AQ27" s="685"/>
    </row>
    <row r="28" spans="1:43" x14ac:dyDescent="0.25">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0"/>
        <v/>
      </c>
      <c r="R28" s="193" t="str">
        <f t="shared" si="1"/>
        <v/>
      </c>
      <c r="S28" s="306" t="str">
        <f>IFERROR(INDEX('G-1 All Habitats'!$B$3:$B$134,MATCH(R28,'G-1 All Habitats'!$A$3:$A$134,0)),"")</f>
        <v/>
      </c>
      <c r="T28" s="362" t="str">
        <f t="shared" si="3"/>
        <v/>
      </c>
      <c r="U28" s="363" t="str">
        <f t="shared" si="4"/>
        <v/>
      </c>
      <c r="V28" s="398" t="str">
        <f t="shared" si="5"/>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2"/>
        <v/>
      </c>
      <c r="AE28" s="63"/>
      <c r="AF28" s="63"/>
      <c r="AG28" s="370" t="str">
        <f t="shared" si="6"/>
        <v/>
      </c>
      <c r="AH28" s="383" t="str">
        <f t="shared" si="7"/>
        <v/>
      </c>
      <c r="AI28" s="384" t="str">
        <f>IF(AH28="Check Data","Check Data",IFERROR(VLOOKUP(AH28,'G-4 Temporal multipliers'!$A$4:$C$36,3,FALSE),""))</f>
        <v/>
      </c>
      <c r="AJ28" s="362" t="str">
        <f>IF(S28="","",VLOOKUP(S28,'G-3 Multipliers'!$A$2:$E$134,4,FALSE))</f>
        <v/>
      </c>
      <c r="AK28" s="370" t="str">
        <f t="shared" si="8"/>
        <v/>
      </c>
      <c r="AL28" s="370" t="str">
        <f t="shared" si="9"/>
        <v/>
      </c>
      <c r="AM28" s="401" t="str">
        <f>IFERROR(IF(F28="","",IF(AH28="Check Data ⚠","Check Data ⚠",VLOOKUP(AL28, 'G-3 Multipliers'!$P$2:$Q$6,2,FALSE))),"")</f>
        <v/>
      </c>
      <c r="AN28" s="376" t="str">
        <f t="shared" si="10"/>
        <v/>
      </c>
      <c r="AO28" s="194"/>
      <c r="AP28" s="195"/>
      <c r="AQ28" s="685"/>
    </row>
    <row r="29" spans="1:43" x14ac:dyDescent="0.25">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0"/>
        <v/>
      </c>
      <c r="R29" s="193" t="str">
        <f t="shared" si="1"/>
        <v/>
      </c>
      <c r="S29" s="306" t="str">
        <f>IFERROR(INDEX('G-1 All Habitats'!$B$3:$B$134,MATCH(R29,'G-1 All Habitats'!$A$3:$A$134,0)),"")</f>
        <v/>
      </c>
      <c r="T29" s="362" t="str">
        <f t="shared" si="3"/>
        <v/>
      </c>
      <c r="U29" s="363" t="str">
        <f t="shared" si="4"/>
        <v/>
      </c>
      <c r="V29" s="398" t="str">
        <f t="shared" si="5"/>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2"/>
        <v/>
      </c>
      <c r="AE29" s="63"/>
      <c r="AF29" s="63"/>
      <c r="AG29" s="370" t="str">
        <f t="shared" si="6"/>
        <v/>
      </c>
      <c r="AH29" s="383" t="str">
        <f t="shared" si="7"/>
        <v/>
      </c>
      <c r="AI29" s="384" t="str">
        <f>IF(AH29="Check Data","Check Data",IFERROR(VLOOKUP(AH29,'G-4 Temporal multipliers'!$A$4:$C$36,3,FALSE),""))</f>
        <v/>
      </c>
      <c r="AJ29" s="362" t="str">
        <f>IF(S29="","",VLOOKUP(S29,'G-3 Multipliers'!$A$2:$E$134,4,FALSE))</f>
        <v/>
      </c>
      <c r="AK29" s="370" t="str">
        <f t="shared" si="8"/>
        <v/>
      </c>
      <c r="AL29" s="370" t="str">
        <f t="shared" si="9"/>
        <v/>
      </c>
      <c r="AM29" s="401" t="str">
        <f>IFERROR(IF(F29="","",IF(AH29="Check Data ⚠","Check Data ⚠",VLOOKUP(AL29, 'G-3 Multipliers'!$P$2:$Q$6,2,FALSE))),"")</f>
        <v/>
      </c>
      <c r="AN29" s="376" t="str">
        <f t="shared" si="10"/>
        <v/>
      </c>
      <c r="AO29" s="194"/>
      <c r="AP29" s="195"/>
      <c r="AQ29" s="685"/>
    </row>
    <row r="30" spans="1:43" x14ac:dyDescent="0.25">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0"/>
        <v/>
      </c>
      <c r="R30" s="193" t="str">
        <f t="shared" si="1"/>
        <v/>
      </c>
      <c r="S30" s="306" t="str">
        <f>IFERROR(INDEX('G-1 All Habitats'!$B$3:$B$134,MATCH(R30,'G-1 All Habitats'!$A$3:$A$134,0)),"")</f>
        <v/>
      </c>
      <c r="T30" s="362" t="str">
        <f t="shared" si="3"/>
        <v/>
      </c>
      <c r="U30" s="363" t="str">
        <f t="shared" si="4"/>
        <v/>
      </c>
      <c r="V30" s="398" t="str">
        <f t="shared" si="5"/>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2"/>
        <v/>
      </c>
      <c r="AE30" s="63"/>
      <c r="AF30" s="63"/>
      <c r="AG30" s="370" t="str">
        <f t="shared" si="6"/>
        <v/>
      </c>
      <c r="AH30" s="383" t="str">
        <f t="shared" si="7"/>
        <v/>
      </c>
      <c r="AI30" s="384" t="str">
        <f>IF(AH30="Check Data","Check Data",IFERROR(VLOOKUP(AH30,'G-4 Temporal multipliers'!$A$4:$C$36,3,FALSE),""))</f>
        <v/>
      </c>
      <c r="AJ30" s="362" t="str">
        <f>IF(S30="","",VLOOKUP(S30,'G-3 Multipliers'!$A$2:$E$134,4,FALSE))</f>
        <v/>
      </c>
      <c r="AK30" s="370" t="str">
        <f t="shared" si="8"/>
        <v/>
      </c>
      <c r="AL30" s="370" t="str">
        <f t="shared" si="9"/>
        <v/>
      </c>
      <c r="AM30" s="401" t="str">
        <f>IFERROR(IF(F30="","",IF(AH30="Check Data ⚠","Check Data ⚠",VLOOKUP(AL30, 'G-3 Multipliers'!$P$2:$Q$6,2,FALSE))),"")</f>
        <v/>
      </c>
      <c r="AN30" s="376" t="str">
        <f t="shared" si="10"/>
        <v/>
      </c>
      <c r="AO30" s="194"/>
      <c r="AP30" s="195"/>
      <c r="AQ30" s="685"/>
    </row>
    <row r="31" spans="1:43" x14ac:dyDescent="0.25">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0"/>
        <v/>
      </c>
      <c r="R31" s="193" t="str">
        <f t="shared" si="1"/>
        <v/>
      </c>
      <c r="S31" s="306" t="str">
        <f>IFERROR(INDEX('G-1 All Habitats'!$B$3:$B$134,MATCH(R31,'G-1 All Habitats'!$A$3:$A$134,0)),"")</f>
        <v/>
      </c>
      <c r="T31" s="362" t="str">
        <f t="shared" si="3"/>
        <v/>
      </c>
      <c r="U31" s="363" t="str">
        <f t="shared" si="4"/>
        <v/>
      </c>
      <c r="V31" s="398" t="str">
        <f t="shared" si="5"/>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2"/>
        <v/>
      </c>
      <c r="AE31" s="63"/>
      <c r="AF31" s="63"/>
      <c r="AG31" s="370" t="str">
        <f t="shared" si="6"/>
        <v/>
      </c>
      <c r="AH31" s="383" t="str">
        <f t="shared" si="7"/>
        <v/>
      </c>
      <c r="AI31" s="384" t="str">
        <f>IF(AH31="Check Data","Check Data",IFERROR(VLOOKUP(AH31,'G-4 Temporal multipliers'!$A$4:$C$36,3,FALSE),""))</f>
        <v/>
      </c>
      <c r="AJ31" s="362" t="str">
        <f>IF(S31="","",VLOOKUP(S31,'G-3 Multipliers'!$A$2:$E$134,4,FALSE))</f>
        <v/>
      </c>
      <c r="AK31" s="370" t="str">
        <f t="shared" si="8"/>
        <v/>
      </c>
      <c r="AL31" s="370" t="str">
        <f t="shared" si="9"/>
        <v/>
      </c>
      <c r="AM31" s="401" t="str">
        <f>IFERROR(IF(F31="","",IF(AH31="Check Data ⚠","Check Data ⚠",VLOOKUP(AL31, 'G-3 Multipliers'!$P$2:$Q$6,2,FALSE))),"")</f>
        <v/>
      </c>
      <c r="AN31" s="376" t="str">
        <f t="shared" si="10"/>
        <v/>
      </c>
      <c r="AO31" s="194"/>
      <c r="AP31" s="195"/>
      <c r="AQ31" s="685"/>
    </row>
    <row r="32" spans="1:43" x14ac:dyDescent="0.25">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0"/>
        <v/>
      </c>
      <c r="R32" s="193" t="str">
        <f t="shared" si="1"/>
        <v/>
      </c>
      <c r="S32" s="306" t="str">
        <f>IFERROR(INDEX('G-1 All Habitats'!$B$3:$B$134,MATCH(R32,'G-1 All Habitats'!$A$3:$A$134,0)),"")</f>
        <v/>
      </c>
      <c r="T32" s="362" t="str">
        <f t="shared" si="3"/>
        <v/>
      </c>
      <c r="U32" s="363" t="str">
        <f t="shared" si="4"/>
        <v/>
      </c>
      <c r="V32" s="398" t="str">
        <f t="shared" si="5"/>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2"/>
        <v/>
      </c>
      <c r="AE32" s="63"/>
      <c r="AF32" s="63"/>
      <c r="AG32" s="370" t="str">
        <f t="shared" si="6"/>
        <v/>
      </c>
      <c r="AH32" s="383" t="str">
        <f t="shared" si="7"/>
        <v/>
      </c>
      <c r="AI32" s="384" t="str">
        <f>IF(AH32="Check Data","Check Data",IFERROR(VLOOKUP(AH32,'G-4 Temporal multipliers'!$A$4:$C$36,3,FALSE),""))</f>
        <v/>
      </c>
      <c r="AJ32" s="362" t="str">
        <f>IF(S32="","",VLOOKUP(S32,'G-3 Multipliers'!$A$2:$E$134,4,FALSE))</f>
        <v/>
      </c>
      <c r="AK32" s="370" t="str">
        <f t="shared" si="8"/>
        <v/>
      </c>
      <c r="AL32" s="370" t="str">
        <f t="shared" si="9"/>
        <v/>
      </c>
      <c r="AM32" s="401" t="str">
        <f>IFERROR(IF(F32="","",IF(AH32="Check Data ⚠","Check Data ⚠",VLOOKUP(AL32, 'G-3 Multipliers'!$P$2:$Q$6,2,FALSE))),"")</f>
        <v/>
      </c>
      <c r="AN32" s="376" t="str">
        <f t="shared" si="10"/>
        <v/>
      </c>
      <c r="AO32" s="194"/>
      <c r="AP32" s="195"/>
      <c r="AQ32" s="685"/>
    </row>
    <row r="33" spans="1:43" x14ac:dyDescent="0.25">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0"/>
        <v/>
      </c>
      <c r="R33" s="193" t="str">
        <f t="shared" si="1"/>
        <v/>
      </c>
      <c r="S33" s="306" t="str">
        <f>IFERROR(INDEX('G-1 All Habitats'!$B$3:$B$134,MATCH(R33,'G-1 All Habitats'!$A$3:$A$134,0)),"")</f>
        <v/>
      </c>
      <c r="T33" s="362" t="str">
        <f t="shared" si="3"/>
        <v/>
      </c>
      <c r="U33" s="363" t="str">
        <f t="shared" si="4"/>
        <v/>
      </c>
      <c r="V33" s="398" t="str">
        <f t="shared" si="5"/>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2"/>
        <v/>
      </c>
      <c r="AE33" s="63"/>
      <c r="AF33" s="63"/>
      <c r="AG33" s="370" t="str">
        <f t="shared" si="6"/>
        <v/>
      </c>
      <c r="AH33" s="383" t="str">
        <f t="shared" si="7"/>
        <v/>
      </c>
      <c r="AI33" s="384" t="str">
        <f>IF(AH33="Check Data","Check Data",IFERROR(VLOOKUP(AH33,'G-4 Temporal multipliers'!$A$4:$C$36,3,FALSE),""))</f>
        <v/>
      </c>
      <c r="AJ33" s="362" t="str">
        <f>IF(S33="","",VLOOKUP(S33,'G-3 Multipliers'!$A$2:$E$134,4,FALSE))</f>
        <v/>
      </c>
      <c r="AK33" s="370" t="str">
        <f t="shared" si="8"/>
        <v/>
      </c>
      <c r="AL33" s="370" t="str">
        <f t="shared" si="9"/>
        <v/>
      </c>
      <c r="AM33" s="401" t="str">
        <f>IFERROR(IF(F33="","",IF(AH33="Check Data ⚠","Check Data ⚠",VLOOKUP(AL33, 'G-3 Multipliers'!$P$2:$Q$6,2,FALSE))),"")</f>
        <v/>
      </c>
      <c r="AN33" s="376" t="str">
        <f t="shared" si="10"/>
        <v/>
      </c>
      <c r="AO33" s="194"/>
      <c r="AP33" s="195"/>
      <c r="AQ33" s="685"/>
    </row>
    <row r="34" spans="1:43" x14ac:dyDescent="0.25">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0"/>
        <v/>
      </c>
      <c r="R34" s="193" t="str">
        <f t="shared" si="1"/>
        <v/>
      </c>
      <c r="S34" s="306" t="str">
        <f>IFERROR(INDEX('G-1 All Habitats'!$B$3:$B$134,MATCH(R34,'G-1 All Habitats'!$A$3:$A$134,0)),"")</f>
        <v/>
      </c>
      <c r="T34" s="362" t="str">
        <f t="shared" si="3"/>
        <v/>
      </c>
      <c r="U34" s="363" t="str">
        <f t="shared" si="4"/>
        <v/>
      </c>
      <c r="V34" s="398" t="str">
        <f t="shared" si="5"/>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2"/>
        <v/>
      </c>
      <c r="AE34" s="63"/>
      <c r="AF34" s="63"/>
      <c r="AG34" s="370" t="str">
        <f t="shared" si="6"/>
        <v/>
      </c>
      <c r="AH34" s="383" t="str">
        <f t="shared" si="7"/>
        <v/>
      </c>
      <c r="AI34" s="384" t="str">
        <f>IF(AH34="Check Data","Check Data",IFERROR(VLOOKUP(AH34,'G-4 Temporal multipliers'!$A$4:$C$36,3,FALSE),""))</f>
        <v/>
      </c>
      <c r="AJ34" s="362" t="str">
        <f>IF(S34="","",VLOOKUP(S34,'G-3 Multipliers'!$A$2:$E$134,4,FALSE))</f>
        <v/>
      </c>
      <c r="AK34" s="370" t="str">
        <f t="shared" si="8"/>
        <v/>
      </c>
      <c r="AL34" s="370" t="str">
        <f t="shared" si="9"/>
        <v/>
      </c>
      <c r="AM34" s="401" t="str">
        <f>IFERROR(IF(F34="","",IF(AH34="Check Data ⚠","Check Data ⚠",VLOOKUP(AL34, 'G-3 Multipliers'!$P$2:$Q$6,2,FALSE))),"")</f>
        <v/>
      </c>
      <c r="AN34" s="376" t="str">
        <f t="shared" si="10"/>
        <v/>
      </c>
      <c r="AO34" s="194"/>
      <c r="AP34" s="195"/>
      <c r="AQ34" s="685"/>
    </row>
    <row r="35" spans="1:43" x14ac:dyDescent="0.25">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0"/>
        <v/>
      </c>
      <c r="R35" s="193" t="str">
        <f t="shared" si="1"/>
        <v/>
      </c>
      <c r="S35" s="306" t="str">
        <f>IFERROR(INDEX('G-1 All Habitats'!$B$3:$B$134,MATCH(R35,'G-1 All Habitats'!$A$3:$A$134,0)),"")</f>
        <v/>
      </c>
      <c r="T35" s="362" t="str">
        <f t="shared" si="3"/>
        <v/>
      </c>
      <c r="U35" s="363" t="str">
        <f t="shared" si="4"/>
        <v/>
      </c>
      <c r="V35" s="398" t="str">
        <f t="shared" si="5"/>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2"/>
        <v/>
      </c>
      <c r="AE35" s="63"/>
      <c r="AF35" s="63"/>
      <c r="AG35" s="370" t="str">
        <f t="shared" si="6"/>
        <v/>
      </c>
      <c r="AH35" s="383" t="str">
        <f t="shared" si="7"/>
        <v/>
      </c>
      <c r="AI35" s="384" t="str">
        <f>IF(AH35="Check Data","Check Data",IFERROR(VLOOKUP(AH35,'G-4 Temporal multipliers'!$A$4:$C$36,3,FALSE),""))</f>
        <v/>
      </c>
      <c r="AJ35" s="362" t="str">
        <f>IF(S35="","",VLOOKUP(S35,'G-3 Multipliers'!$A$2:$E$134,4,FALSE))</f>
        <v/>
      </c>
      <c r="AK35" s="370" t="str">
        <f t="shared" si="8"/>
        <v/>
      </c>
      <c r="AL35" s="370" t="str">
        <f t="shared" si="9"/>
        <v/>
      </c>
      <c r="AM35" s="401" t="str">
        <f>IFERROR(IF(F35="","",IF(AH35="Check Data ⚠","Check Data ⚠",VLOOKUP(AL35, 'G-3 Multipliers'!$P$2:$Q$6,2,FALSE))),"")</f>
        <v/>
      </c>
      <c r="AN35" s="376" t="str">
        <f t="shared" si="10"/>
        <v/>
      </c>
      <c r="AO35" s="194"/>
      <c r="AP35" s="195"/>
      <c r="AQ35" s="685"/>
    </row>
    <row r="36" spans="1:43" x14ac:dyDescent="0.25">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0"/>
        <v/>
      </c>
      <c r="R36" s="193" t="str">
        <f t="shared" si="1"/>
        <v/>
      </c>
      <c r="S36" s="306" t="str">
        <f>IFERROR(INDEX('G-1 All Habitats'!$B$3:$B$134,MATCH(R36,'G-1 All Habitats'!$A$3:$A$134,0)),"")</f>
        <v/>
      </c>
      <c r="T36" s="362" t="str">
        <f t="shared" si="3"/>
        <v/>
      </c>
      <c r="U36" s="363" t="str">
        <f t="shared" si="4"/>
        <v/>
      </c>
      <c r="V36" s="398" t="str">
        <f t="shared" si="5"/>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2"/>
        <v/>
      </c>
      <c r="AE36" s="63"/>
      <c r="AF36" s="63"/>
      <c r="AG36" s="370" t="str">
        <f t="shared" si="6"/>
        <v/>
      </c>
      <c r="AH36" s="383" t="str">
        <f t="shared" si="7"/>
        <v/>
      </c>
      <c r="AI36" s="384" t="str">
        <f>IF(AH36="Check Data","Check Data",IFERROR(VLOOKUP(AH36,'G-4 Temporal multipliers'!$A$4:$C$36,3,FALSE),""))</f>
        <v/>
      </c>
      <c r="AJ36" s="362" t="str">
        <f>IF(S36="","",VLOOKUP(S36,'G-3 Multipliers'!$A$2:$E$134,4,FALSE))</f>
        <v/>
      </c>
      <c r="AK36" s="370" t="str">
        <f t="shared" si="8"/>
        <v/>
      </c>
      <c r="AL36" s="370" t="str">
        <f t="shared" si="9"/>
        <v/>
      </c>
      <c r="AM36" s="401" t="str">
        <f>IFERROR(IF(F36="","",IF(AH36="Check Data ⚠","Check Data ⚠",VLOOKUP(AL36, 'G-3 Multipliers'!$P$2:$Q$6,2,FALSE))),"")</f>
        <v/>
      </c>
      <c r="AN36" s="376" t="str">
        <f t="shared" si="10"/>
        <v/>
      </c>
      <c r="AO36" s="194"/>
      <c r="AP36" s="195"/>
      <c r="AQ36" s="685"/>
    </row>
    <row r="37" spans="1:43" x14ac:dyDescent="0.25">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0"/>
        <v/>
      </c>
      <c r="R37" s="193" t="str">
        <f t="shared" si="1"/>
        <v/>
      </c>
      <c r="S37" s="306" t="str">
        <f>IFERROR(INDEX('G-1 All Habitats'!$B$3:$B$134,MATCH(R37,'G-1 All Habitats'!$A$3:$A$134,0)),"")</f>
        <v/>
      </c>
      <c r="T37" s="362" t="str">
        <f t="shared" si="3"/>
        <v/>
      </c>
      <c r="U37" s="363" t="str">
        <f t="shared" si="4"/>
        <v/>
      </c>
      <c r="V37" s="398" t="str">
        <f t="shared" si="5"/>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2"/>
        <v/>
      </c>
      <c r="AE37" s="63"/>
      <c r="AF37" s="63"/>
      <c r="AG37" s="370" t="str">
        <f t="shared" si="6"/>
        <v/>
      </c>
      <c r="AH37" s="383" t="str">
        <f t="shared" si="7"/>
        <v/>
      </c>
      <c r="AI37" s="384" t="str">
        <f>IF(AH37="Check Data","Check Data",IFERROR(VLOOKUP(AH37,'G-4 Temporal multipliers'!$A$4:$C$36,3,FALSE),""))</f>
        <v/>
      </c>
      <c r="AJ37" s="362" t="str">
        <f>IF(S37="","",VLOOKUP(S37,'G-3 Multipliers'!$A$2:$E$134,4,FALSE))</f>
        <v/>
      </c>
      <c r="AK37" s="370" t="str">
        <f t="shared" si="8"/>
        <v/>
      </c>
      <c r="AL37" s="370" t="str">
        <f t="shared" si="9"/>
        <v/>
      </c>
      <c r="AM37" s="401" t="str">
        <f>IFERROR(IF(F37="","",IF(AH37="Check Data ⚠","Check Data ⚠",VLOOKUP(AL37, 'G-3 Multipliers'!$P$2:$Q$6,2,FALSE))),"")</f>
        <v/>
      </c>
      <c r="AN37" s="376" t="str">
        <f t="shared" si="10"/>
        <v/>
      </c>
      <c r="AO37" s="194"/>
      <c r="AP37" s="195"/>
      <c r="AQ37" s="685"/>
    </row>
    <row r="38" spans="1:43" x14ac:dyDescent="0.25">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0"/>
        <v/>
      </c>
      <c r="R38" s="193" t="str">
        <f t="shared" si="1"/>
        <v/>
      </c>
      <c r="S38" s="306" t="str">
        <f>IFERROR(INDEX('G-1 All Habitats'!$B$3:$B$134,MATCH(R38,'G-1 All Habitats'!$A$3:$A$134,0)),"")</f>
        <v/>
      </c>
      <c r="T38" s="362" t="str">
        <f t="shared" si="3"/>
        <v/>
      </c>
      <c r="U38" s="363" t="str">
        <f t="shared" si="4"/>
        <v/>
      </c>
      <c r="V38" s="398" t="str">
        <f t="shared" si="5"/>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2"/>
        <v/>
      </c>
      <c r="AE38" s="63"/>
      <c r="AF38" s="63"/>
      <c r="AG38" s="370" t="str">
        <f t="shared" si="6"/>
        <v/>
      </c>
      <c r="AH38" s="383" t="str">
        <f t="shared" si="7"/>
        <v/>
      </c>
      <c r="AI38" s="384" t="str">
        <f>IF(AH38="Check Data","Check Data",IFERROR(VLOOKUP(AH38,'G-4 Temporal multipliers'!$A$4:$C$36,3,FALSE),""))</f>
        <v/>
      </c>
      <c r="AJ38" s="362" t="str">
        <f>IF(S38="","",VLOOKUP(S38,'G-3 Multipliers'!$A$2:$E$134,4,FALSE))</f>
        <v/>
      </c>
      <c r="AK38" s="370" t="str">
        <f t="shared" si="8"/>
        <v/>
      </c>
      <c r="AL38" s="370" t="str">
        <f t="shared" si="9"/>
        <v/>
      </c>
      <c r="AM38" s="401" t="str">
        <f>IFERROR(IF(F38="","",IF(AH38="Check Data ⚠","Check Data ⚠",VLOOKUP(AL38, 'G-3 Multipliers'!$P$2:$Q$6,2,FALSE))),"")</f>
        <v/>
      </c>
      <c r="AN38" s="376" t="str">
        <f t="shared" si="10"/>
        <v/>
      </c>
      <c r="AO38" s="194"/>
      <c r="AP38" s="195"/>
      <c r="AQ38" s="685"/>
    </row>
    <row r="39" spans="1:43" x14ac:dyDescent="0.25">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0"/>
        <v/>
      </c>
      <c r="R39" s="193" t="str">
        <f t="shared" si="1"/>
        <v/>
      </c>
      <c r="S39" s="306" t="str">
        <f>IFERROR(INDEX('G-1 All Habitats'!$B$3:$B$134,MATCH(R39,'G-1 All Habitats'!$A$3:$A$134,0)),"")</f>
        <v/>
      </c>
      <c r="T39" s="362" t="str">
        <f t="shared" si="3"/>
        <v/>
      </c>
      <c r="U39" s="363" t="str">
        <f t="shared" si="4"/>
        <v/>
      </c>
      <c r="V39" s="398" t="str">
        <f t="shared" si="5"/>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2"/>
        <v/>
      </c>
      <c r="AE39" s="63"/>
      <c r="AF39" s="63"/>
      <c r="AG39" s="370" t="str">
        <f t="shared" si="6"/>
        <v/>
      </c>
      <c r="AH39" s="383" t="str">
        <f t="shared" si="7"/>
        <v/>
      </c>
      <c r="AI39" s="384" t="str">
        <f>IF(AH39="Check Data","Check Data",IFERROR(VLOOKUP(AH39,'G-4 Temporal multipliers'!$A$4:$C$36,3,FALSE),""))</f>
        <v/>
      </c>
      <c r="AJ39" s="362" t="str">
        <f>IF(S39="","",VLOOKUP(S39,'G-3 Multipliers'!$A$2:$E$134,4,FALSE))</f>
        <v/>
      </c>
      <c r="AK39" s="370" t="str">
        <f t="shared" si="8"/>
        <v/>
      </c>
      <c r="AL39" s="370" t="str">
        <f t="shared" si="9"/>
        <v/>
      </c>
      <c r="AM39" s="401" t="str">
        <f>IFERROR(IF(F39="","",IF(AH39="Check Data ⚠","Check Data ⚠",VLOOKUP(AL39, 'G-3 Multipliers'!$P$2:$Q$6,2,FALSE))),"")</f>
        <v/>
      </c>
      <c r="AN39" s="376" t="str">
        <f t="shared" si="10"/>
        <v/>
      </c>
      <c r="AO39" s="194"/>
      <c r="AP39" s="195"/>
      <c r="AQ39" s="120"/>
    </row>
    <row r="40" spans="1:43" x14ac:dyDescent="0.25">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0"/>
        <v/>
      </c>
      <c r="R40" s="193" t="str">
        <f t="shared" si="1"/>
        <v/>
      </c>
      <c r="S40" s="306" t="str">
        <f>IFERROR(INDEX('G-1 All Habitats'!$B$3:$B$134,MATCH(R40,'G-1 All Habitats'!$A$3:$A$134,0)),"")</f>
        <v/>
      </c>
      <c r="T40" s="362" t="str">
        <f t="shared" si="3"/>
        <v/>
      </c>
      <c r="U40" s="363" t="str">
        <f t="shared" si="4"/>
        <v/>
      </c>
      <c r="V40" s="398" t="str">
        <f t="shared" si="5"/>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2"/>
        <v/>
      </c>
      <c r="AE40" s="63"/>
      <c r="AF40" s="63"/>
      <c r="AG40" s="370" t="str">
        <f t="shared" si="6"/>
        <v/>
      </c>
      <c r="AH40" s="383" t="str">
        <f t="shared" si="7"/>
        <v/>
      </c>
      <c r="AI40" s="384" t="str">
        <f>IF(AH40="Check Data","Check Data",IFERROR(VLOOKUP(AH40,'G-4 Temporal multipliers'!$A$4:$C$36,3,FALSE),""))</f>
        <v/>
      </c>
      <c r="AJ40" s="362" t="str">
        <f>IF(S40="","",VLOOKUP(S40,'G-3 Multipliers'!$A$2:$E$134,4,FALSE))</f>
        <v/>
      </c>
      <c r="AK40" s="370" t="str">
        <f t="shared" si="8"/>
        <v/>
      </c>
      <c r="AL40" s="370" t="str">
        <f t="shared" si="9"/>
        <v/>
      </c>
      <c r="AM40" s="401" t="str">
        <f>IFERROR(IF(F40="","",IF(AH40="Check Data ⚠","Check Data ⚠",VLOOKUP(AL40, 'G-3 Multipliers'!$P$2:$Q$6,2,FALSE))),"")</f>
        <v/>
      </c>
      <c r="AN40" s="376" t="str">
        <f t="shared" si="10"/>
        <v/>
      </c>
      <c r="AO40" s="194"/>
      <c r="AP40" s="195"/>
      <c r="AQ40" s="120"/>
    </row>
    <row r="41" spans="1:43" x14ac:dyDescent="0.25">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0"/>
        <v/>
      </c>
      <c r="R41" s="193" t="str">
        <f t="shared" si="1"/>
        <v/>
      </c>
      <c r="S41" s="306" t="str">
        <f>IFERROR(INDEX('G-1 All Habitats'!$B$3:$B$134,MATCH(R41,'G-1 All Habitats'!$A$3:$A$134,0)),"")</f>
        <v/>
      </c>
      <c r="T41" s="362" t="str">
        <f t="shared" si="3"/>
        <v/>
      </c>
      <c r="U41" s="363" t="str">
        <f t="shared" si="4"/>
        <v/>
      </c>
      <c r="V41" s="398" t="str">
        <f t="shared" si="5"/>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2"/>
        <v/>
      </c>
      <c r="AE41" s="63"/>
      <c r="AF41" s="63"/>
      <c r="AG41" s="370" t="str">
        <f t="shared" si="6"/>
        <v/>
      </c>
      <c r="AH41" s="383" t="str">
        <f t="shared" si="7"/>
        <v/>
      </c>
      <c r="AI41" s="384" t="str">
        <f>IF(AH41="Check Data","Check Data",IFERROR(VLOOKUP(AH41,'G-4 Temporal multipliers'!$A$4:$C$36,3,FALSE),""))</f>
        <v/>
      </c>
      <c r="AJ41" s="362" t="str">
        <f>IF(S41="","",VLOOKUP(S41,'G-3 Multipliers'!$A$2:$E$134,4,FALSE))</f>
        <v/>
      </c>
      <c r="AK41" s="370" t="str">
        <f t="shared" si="8"/>
        <v/>
      </c>
      <c r="AL41" s="370" t="str">
        <f t="shared" si="9"/>
        <v/>
      </c>
      <c r="AM41" s="401" t="str">
        <f>IFERROR(IF(F41="","",IF(AH41="Check Data ⚠","Check Data ⚠",VLOOKUP(AL41, 'G-3 Multipliers'!$P$2:$Q$6,2,FALSE))),"")</f>
        <v/>
      </c>
      <c r="AN41" s="376" t="str">
        <f t="shared" si="10"/>
        <v/>
      </c>
      <c r="AO41" s="194"/>
      <c r="AP41" s="195"/>
      <c r="AQ41" s="120"/>
    </row>
    <row r="42" spans="1:43" x14ac:dyDescent="0.25">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0"/>
        <v/>
      </c>
      <c r="R42" s="193" t="str">
        <f t="shared" si="1"/>
        <v/>
      </c>
      <c r="S42" s="306" t="str">
        <f>IFERROR(INDEX('G-1 All Habitats'!$B$3:$B$134,MATCH(R42,'G-1 All Habitats'!$A$3:$A$134,0)),"")</f>
        <v/>
      </c>
      <c r="T42" s="362" t="str">
        <f t="shared" si="3"/>
        <v/>
      </c>
      <c r="U42" s="363" t="str">
        <f t="shared" si="4"/>
        <v/>
      </c>
      <c r="V42" s="398" t="str">
        <f t="shared" si="5"/>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2"/>
        <v/>
      </c>
      <c r="AE42" s="63"/>
      <c r="AF42" s="63"/>
      <c r="AG42" s="370" t="str">
        <f t="shared" si="6"/>
        <v/>
      </c>
      <c r="AH42" s="383" t="str">
        <f t="shared" si="7"/>
        <v/>
      </c>
      <c r="AI42" s="384" t="str">
        <f>IF(AH42="Check Data","Check Data",IFERROR(VLOOKUP(AH42,'G-4 Temporal multipliers'!$A$4:$C$36,3,FALSE),""))</f>
        <v/>
      </c>
      <c r="AJ42" s="362" t="str">
        <f>IF(S42="","",VLOOKUP(S42,'G-3 Multipliers'!$A$2:$E$134,4,FALSE))</f>
        <v/>
      </c>
      <c r="AK42" s="370" t="str">
        <f t="shared" si="8"/>
        <v/>
      </c>
      <c r="AL42" s="370" t="str">
        <f t="shared" si="9"/>
        <v/>
      </c>
      <c r="AM42" s="401" t="str">
        <f>IFERROR(IF(F42="","",IF(AH42="Check Data ⚠","Check Data ⚠",VLOOKUP(AL42, 'G-3 Multipliers'!$P$2:$Q$6,2,FALSE))),"")</f>
        <v/>
      </c>
      <c r="AN42" s="376" t="str">
        <f t="shared" si="10"/>
        <v/>
      </c>
      <c r="AO42" s="194"/>
      <c r="AP42" s="195"/>
      <c r="AQ42" s="120"/>
    </row>
    <row r="43" spans="1:43" x14ac:dyDescent="0.25">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0"/>
        <v/>
      </c>
      <c r="R43" s="193" t="str">
        <f t="shared" si="1"/>
        <v/>
      </c>
      <c r="S43" s="306" t="str">
        <f>IFERROR(INDEX('G-1 All Habitats'!$B$3:$B$134,MATCH(R43,'G-1 All Habitats'!$A$3:$A$134,0)),"")</f>
        <v/>
      </c>
      <c r="T43" s="362" t="str">
        <f t="shared" si="3"/>
        <v/>
      </c>
      <c r="U43" s="363" t="str">
        <f t="shared" si="4"/>
        <v/>
      </c>
      <c r="V43" s="398" t="str">
        <f t="shared" si="5"/>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2"/>
        <v/>
      </c>
      <c r="AE43" s="63"/>
      <c r="AF43" s="63"/>
      <c r="AG43" s="370" t="str">
        <f t="shared" si="6"/>
        <v/>
      </c>
      <c r="AH43" s="383" t="str">
        <f t="shared" si="7"/>
        <v/>
      </c>
      <c r="AI43" s="384" t="str">
        <f>IF(AH43="Check Data","Check Data",IFERROR(VLOOKUP(AH43,'G-4 Temporal multipliers'!$A$4:$C$36,3,FALSE),""))</f>
        <v/>
      </c>
      <c r="AJ43" s="362" t="str">
        <f>IF(S43="","",VLOOKUP(S43,'G-3 Multipliers'!$A$2:$E$134,4,FALSE))</f>
        <v/>
      </c>
      <c r="AK43" s="370" t="str">
        <f t="shared" si="8"/>
        <v/>
      </c>
      <c r="AL43" s="370" t="str">
        <f t="shared" si="9"/>
        <v/>
      </c>
      <c r="AM43" s="401" t="str">
        <f>IFERROR(IF(F43="","",IF(AH43="Check Data ⚠","Check Data ⚠",VLOOKUP(AL43, 'G-3 Multipliers'!$P$2:$Q$6,2,FALSE))),"")</f>
        <v/>
      </c>
      <c r="AN43" s="376" t="str">
        <f t="shared" si="10"/>
        <v/>
      </c>
      <c r="AO43" s="194"/>
      <c r="AP43" s="195"/>
      <c r="AQ43" s="120"/>
    </row>
    <row r="44" spans="1:43" x14ac:dyDescent="0.25">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0"/>
        <v/>
      </c>
      <c r="R44" s="193" t="str">
        <f t="shared" si="1"/>
        <v/>
      </c>
      <c r="S44" s="306" t="str">
        <f>IFERROR(INDEX('G-1 All Habitats'!$B$3:$B$134,MATCH(R44,'G-1 All Habitats'!$A$3:$A$134,0)),"")</f>
        <v/>
      </c>
      <c r="T44" s="362" t="str">
        <f t="shared" si="3"/>
        <v/>
      </c>
      <c r="U44" s="363" t="str">
        <f t="shared" si="4"/>
        <v/>
      </c>
      <c r="V44" s="398" t="str">
        <f t="shared" si="5"/>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2"/>
        <v/>
      </c>
      <c r="AE44" s="63"/>
      <c r="AF44" s="63"/>
      <c r="AG44" s="370" t="str">
        <f t="shared" si="6"/>
        <v/>
      </c>
      <c r="AH44" s="383" t="str">
        <f t="shared" si="7"/>
        <v/>
      </c>
      <c r="AI44" s="384" t="str">
        <f>IF(AH44="Check Data","Check Data",IFERROR(VLOOKUP(AH44,'G-4 Temporal multipliers'!$A$4:$C$36,3,FALSE),""))</f>
        <v/>
      </c>
      <c r="AJ44" s="362" t="str">
        <f>IF(S44="","",VLOOKUP(S44,'G-3 Multipliers'!$A$2:$E$134,4,FALSE))</f>
        <v/>
      </c>
      <c r="AK44" s="370" t="str">
        <f t="shared" si="8"/>
        <v/>
      </c>
      <c r="AL44" s="370" t="str">
        <f t="shared" si="9"/>
        <v/>
      </c>
      <c r="AM44" s="401" t="str">
        <f>IFERROR(IF(F44="","",IF(AH44="Check Data ⚠","Check Data ⚠",VLOOKUP(AL44, 'G-3 Multipliers'!$P$2:$Q$6,2,FALSE))),"")</f>
        <v/>
      </c>
      <c r="AN44" s="376" t="str">
        <f t="shared" si="10"/>
        <v/>
      </c>
      <c r="AO44" s="194"/>
      <c r="AP44" s="195"/>
      <c r="AQ44" s="120"/>
    </row>
    <row r="45" spans="1:43" x14ac:dyDescent="0.25">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0"/>
        <v/>
      </c>
      <c r="R45" s="193" t="str">
        <f t="shared" si="1"/>
        <v/>
      </c>
      <c r="S45" s="306" t="str">
        <f>IFERROR(INDEX('G-1 All Habitats'!$B$3:$B$134,MATCH(R45,'G-1 All Habitats'!$A$3:$A$134,0)),"")</f>
        <v/>
      </c>
      <c r="T45" s="362" t="str">
        <f t="shared" si="3"/>
        <v/>
      </c>
      <c r="U45" s="363" t="str">
        <f t="shared" si="4"/>
        <v/>
      </c>
      <c r="V45" s="398" t="str">
        <f t="shared" si="5"/>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2"/>
        <v/>
      </c>
      <c r="AE45" s="63"/>
      <c r="AF45" s="63"/>
      <c r="AG45" s="370" t="str">
        <f t="shared" si="6"/>
        <v/>
      </c>
      <c r="AH45" s="383" t="str">
        <f t="shared" si="7"/>
        <v/>
      </c>
      <c r="AI45" s="384" t="str">
        <f>IF(AH45="Check Data","Check Data",IFERROR(VLOOKUP(AH45,'G-4 Temporal multipliers'!$A$4:$C$36,3,FALSE),""))</f>
        <v/>
      </c>
      <c r="AJ45" s="362" t="str">
        <f>IF(S45="","",VLOOKUP(S45,'G-3 Multipliers'!$A$2:$E$134,4,FALSE))</f>
        <v/>
      </c>
      <c r="AK45" s="370" t="str">
        <f t="shared" si="8"/>
        <v/>
      </c>
      <c r="AL45" s="370" t="str">
        <f t="shared" si="9"/>
        <v/>
      </c>
      <c r="AM45" s="401" t="str">
        <f>IFERROR(IF(F45="","",IF(AH45="Check Data ⚠","Check Data ⚠",VLOOKUP(AL45, 'G-3 Multipliers'!$P$2:$Q$6,2,FALSE))),"")</f>
        <v/>
      </c>
      <c r="AN45" s="376" t="str">
        <f t="shared" si="10"/>
        <v/>
      </c>
      <c r="AO45" s="194"/>
      <c r="AP45" s="195"/>
      <c r="AQ45" s="120"/>
    </row>
    <row r="46" spans="1:43" x14ac:dyDescent="0.25">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0"/>
        <v/>
      </c>
      <c r="R46" s="193" t="str">
        <f t="shared" si="1"/>
        <v/>
      </c>
      <c r="S46" s="306" t="str">
        <f>IFERROR(INDEX('G-1 All Habitats'!$B$3:$B$134,MATCH(R46,'G-1 All Habitats'!$A$3:$A$134,0)),"")</f>
        <v/>
      </c>
      <c r="T46" s="362" t="str">
        <f t="shared" si="3"/>
        <v/>
      </c>
      <c r="U46" s="363" t="str">
        <f t="shared" si="4"/>
        <v/>
      </c>
      <c r="V46" s="398" t="str">
        <f t="shared" si="5"/>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2"/>
        <v/>
      </c>
      <c r="AE46" s="63"/>
      <c r="AF46" s="63"/>
      <c r="AG46" s="370" t="str">
        <f t="shared" si="6"/>
        <v/>
      </c>
      <c r="AH46" s="383" t="str">
        <f t="shared" si="7"/>
        <v/>
      </c>
      <c r="AI46" s="384" t="str">
        <f>IF(AH46="Check Data","Check Data",IFERROR(VLOOKUP(AH46,'G-4 Temporal multipliers'!$A$4:$C$36,3,FALSE),""))</f>
        <v/>
      </c>
      <c r="AJ46" s="362" t="str">
        <f>IF(S46="","",VLOOKUP(S46,'G-3 Multipliers'!$A$2:$E$134,4,FALSE))</f>
        <v/>
      </c>
      <c r="AK46" s="370" t="str">
        <f t="shared" si="8"/>
        <v/>
      </c>
      <c r="AL46" s="370" t="str">
        <f t="shared" si="9"/>
        <v/>
      </c>
      <c r="AM46" s="401" t="str">
        <f>IFERROR(IF(F46="","",IF(AH46="Check Data ⚠","Check Data ⚠",VLOOKUP(AL46, 'G-3 Multipliers'!$P$2:$Q$6,2,FALSE))),"")</f>
        <v/>
      </c>
      <c r="AN46" s="376" t="str">
        <f t="shared" si="10"/>
        <v/>
      </c>
      <c r="AO46" s="194"/>
      <c r="AP46" s="195"/>
      <c r="AQ46" s="120"/>
    </row>
    <row r="47" spans="1:43" x14ac:dyDescent="0.25">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0"/>
        <v/>
      </c>
      <c r="R47" s="193" t="str">
        <f t="shared" si="1"/>
        <v/>
      </c>
      <c r="S47" s="306" t="str">
        <f>IFERROR(INDEX('G-1 All Habitats'!$B$3:$B$134,MATCH(R47,'G-1 All Habitats'!$A$3:$A$134,0)),"")</f>
        <v/>
      </c>
      <c r="T47" s="362" t="str">
        <f t="shared" si="3"/>
        <v/>
      </c>
      <c r="U47" s="363" t="str">
        <f t="shared" si="4"/>
        <v/>
      </c>
      <c r="V47" s="398" t="str">
        <f t="shared" si="5"/>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2"/>
        <v/>
      </c>
      <c r="AE47" s="63"/>
      <c r="AF47" s="63"/>
      <c r="AG47" s="370" t="str">
        <f t="shared" si="6"/>
        <v/>
      </c>
      <c r="AH47" s="383" t="str">
        <f t="shared" si="7"/>
        <v/>
      </c>
      <c r="AI47" s="384" t="str">
        <f>IF(AH47="Check Data","Check Data",IFERROR(VLOOKUP(AH47,'G-4 Temporal multipliers'!$A$4:$C$36,3,FALSE),""))</f>
        <v/>
      </c>
      <c r="AJ47" s="362" t="str">
        <f>IF(S47="","",VLOOKUP(S47,'G-3 Multipliers'!$A$2:$E$134,4,FALSE))</f>
        <v/>
      </c>
      <c r="AK47" s="370" t="str">
        <f t="shared" si="8"/>
        <v/>
      </c>
      <c r="AL47" s="370" t="str">
        <f t="shared" si="9"/>
        <v/>
      </c>
      <c r="AM47" s="401" t="str">
        <f>IFERROR(IF(F47="","",IF(AH47="Check Data ⚠","Check Data ⚠",VLOOKUP(AL47, 'G-3 Multipliers'!$P$2:$Q$6,2,FALSE))),"")</f>
        <v/>
      </c>
      <c r="AN47" s="376" t="str">
        <f t="shared" si="10"/>
        <v/>
      </c>
      <c r="AO47" s="194"/>
      <c r="AP47" s="195"/>
      <c r="AQ47" s="120"/>
    </row>
    <row r="48" spans="1:43" x14ac:dyDescent="0.25">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0"/>
        <v/>
      </c>
      <c r="R48" s="193" t="str">
        <f t="shared" si="1"/>
        <v/>
      </c>
      <c r="S48" s="306" t="str">
        <f>IFERROR(INDEX('G-1 All Habitats'!$B$3:$B$134,MATCH(R48,'G-1 All Habitats'!$A$3:$A$134,0)),"")</f>
        <v/>
      </c>
      <c r="T48" s="362" t="str">
        <f t="shared" si="3"/>
        <v/>
      </c>
      <c r="U48" s="363" t="str">
        <f t="shared" si="4"/>
        <v/>
      </c>
      <c r="V48" s="398" t="str">
        <f t="shared" si="5"/>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2"/>
        <v/>
      </c>
      <c r="AE48" s="63"/>
      <c r="AF48" s="63"/>
      <c r="AG48" s="370" t="str">
        <f t="shared" si="6"/>
        <v/>
      </c>
      <c r="AH48" s="383" t="str">
        <f t="shared" si="7"/>
        <v/>
      </c>
      <c r="AI48" s="384" t="str">
        <f>IF(AH48="Check Data","Check Data",IFERROR(VLOOKUP(AH48,'G-4 Temporal multipliers'!$A$4:$C$36,3,FALSE),""))</f>
        <v/>
      </c>
      <c r="AJ48" s="362" t="str">
        <f>IF(S48="","",VLOOKUP(S48,'G-3 Multipliers'!$A$2:$E$134,4,FALSE))</f>
        <v/>
      </c>
      <c r="AK48" s="370" t="str">
        <f t="shared" si="8"/>
        <v/>
      </c>
      <c r="AL48" s="370" t="str">
        <f t="shared" si="9"/>
        <v/>
      </c>
      <c r="AM48" s="401" t="str">
        <f>IFERROR(IF(F48="","",IF(AH48="Check Data ⚠","Check Data ⚠",VLOOKUP(AL48, 'G-3 Multipliers'!$P$2:$Q$6,2,FALSE))),"")</f>
        <v/>
      </c>
      <c r="AN48" s="376" t="str">
        <f t="shared" si="10"/>
        <v/>
      </c>
      <c r="AO48" s="194"/>
      <c r="AP48" s="195"/>
      <c r="AQ48" s="120"/>
    </row>
    <row r="49" spans="1:43" x14ac:dyDescent="0.25">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0"/>
        <v/>
      </c>
      <c r="R49" s="193" t="str">
        <f t="shared" si="1"/>
        <v/>
      </c>
      <c r="S49" s="306" t="str">
        <f>IFERROR(INDEX('G-1 All Habitats'!$B$3:$B$134,MATCH(R49,'G-1 All Habitats'!$A$3:$A$134,0)),"")</f>
        <v/>
      </c>
      <c r="T49" s="362" t="str">
        <f t="shared" si="3"/>
        <v/>
      </c>
      <c r="U49" s="363" t="str">
        <f t="shared" si="4"/>
        <v/>
      </c>
      <c r="V49" s="398" t="str">
        <f t="shared" si="5"/>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2"/>
        <v/>
      </c>
      <c r="AE49" s="63"/>
      <c r="AF49" s="63"/>
      <c r="AG49" s="370" t="str">
        <f t="shared" si="6"/>
        <v/>
      </c>
      <c r="AH49" s="383" t="str">
        <f t="shared" si="7"/>
        <v/>
      </c>
      <c r="AI49" s="384" t="str">
        <f>IF(AH49="Check Data","Check Data",IFERROR(VLOOKUP(AH49,'G-4 Temporal multipliers'!$A$4:$C$36,3,FALSE),""))</f>
        <v/>
      </c>
      <c r="AJ49" s="362" t="str">
        <f>IF(S49="","",VLOOKUP(S49,'G-3 Multipliers'!$A$2:$E$134,4,FALSE))</f>
        <v/>
      </c>
      <c r="AK49" s="370" t="str">
        <f t="shared" si="8"/>
        <v/>
      </c>
      <c r="AL49" s="370" t="str">
        <f t="shared" si="9"/>
        <v/>
      </c>
      <c r="AM49" s="401" t="str">
        <f>IFERROR(IF(F49="","",IF(AH49="Check Data ⚠","Check Data ⚠",VLOOKUP(AL49, 'G-3 Multipliers'!$P$2:$Q$6,2,FALSE))),"")</f>
        <v/>
      </c>
      <c r="AN49" s="376" t="str">
        <f t="shared" si="10"/>
        <v/>
      </c>
      <c r="AO49" s="194"/>
      <c r="AP49" s="195"/>
      <c r="AQ49" s="120"/>
    </row>
    <row r="50" spans="1:43" x14ac:dyDescent="0.25">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0"/>
        <v/>
      </c>
      <c r="R50" s="193" t="str">
        <f t="shared" si="1"/>
        <v/>
      </c>
      <c r="S50" s="306" t="str">
        <f>IFERROR(INDEX('G-1 All Habitats'!$B$3:$B$134,MATCH(R50,'G-1 All Habitats'!$A$3:$A$134,0)),"")</f>
        <v/>
      </c>
      <c r="T50" s="362" t="str">
        <f t="shared" si="3"/>
        <v/>
      </c>
      <c r="U50" s="363" t="str">
        <f t="shared" si="4"/>
        <v/>
      </c>
      <c r="V50" s="398" t="str">
        <f t="shared" si="5"/>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2"/>
        <v/>
      </c>
      <c r="AE50" s="63"/>
      <c r="AF50" s="63"/>
      <c r="AG50" s="370" t="str">
        <f t="shared" si="6"/>
        <v/>
      </c>
      <c r="AH50" s="383" t="str">
        <f t="shared" si="7"/>
        <v/>
      </c>
      <c r="AI50" s="384" t="str">
        <f>IF(AH50="Check Data","Check Data",IFERROR(VLOOKUP(AH50,'G-4 Temporal multipliers'!$A$4:$C$36,3,FALSE),""))</f>
        <v/>
      </c>
      <c r="AJ50" s="362" t="str">
        <f>IF(S50="","",VLOOKUP(S50,'G-3 Multipliers'!$A$2:$E$134,4,FALSE))</f>
        <v/>
      </c>
      <c r="AK50" s="370" t="str">
        <f t="shared" si="8"/>
        <v/>
      </c>
      <c r="AL50" s="370" t="str">
        <f t="shared" si="9"/>
        <v/>
      </c>
      <c r="AM50" s="401" t="str">
        <f>IFERROR(IF(F50="","",IF(AH50="Check Data ⚠","Check Data ⚠",VLOOKUP(AL50, 'G-3 Multipliers'!$P$2:$Q$6,2,FALSE))),"")</f>
        <v/>
      </c>
      <c r="AN50" s="376" t="str">
        <f t="shared" si="10"/>
        <v/>
      </c>
      <c r="AO50" s="194"/>
      <c r="AP50" s="195"/>
      <c r="AQ50" s="120"/>
    </row>
    <row r="51" spans="1:43" x14ac:dyDescent="0.25">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0"/>
        <v/>
      </c>
      <c r="R51" s="193" t="str">
        <f t="shared" si="1"/>
        <v/>
      </c>
      <c r="S51" s="306" t="str">
        <f>IFERROR(INDEX('G-1 All Habitats'!$B$3:$B$134,MATCH(R51,'G-1 All Habitats'!$A$3:$A$134,0)),"")</f>
        <v/>
      </c>
      <c r="T51" s="362" t="str">
        <f t="shared" si="3"/>
        <v/>
      </c>
      <c r="U51" s="363" t="str">
        <f t="shared" si="4"/>
        <v/>
      </c>
      <c r="V51" s="398" t="str">
        <f t="shared" si="5"/>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2"/>
        <v/>
      </c>
      <c r="AE51" s="63"/>
      <c r="AF51" s="63"/>
      <c r="AG51" s="370" t="str">
        <f t="shared" si="6"/>
        <v/>
      </c>
      <c r="AH51" s="383" t="str">
        <f t="shared" si="7"/>
        <v/>
      </c>
      <c r="AI51" s="384" t="str">
        <f>IF(AH51="Check Data","Check Data",IFERROR(VLOOKUP(AH51,'G-4 Temporal multipliers'!$A$4:$C$36,3,FALSE),""))</f>
        <v/>
      </c>
      <c r="AJ51" s="362" t="str">
        <f>IF(S51="","",VLOOKUP(S51,'G-3 Multipliers'!$A$2:$E$134,4,FALSE))</f>
        <v/>
      </c>
      <c r="AK51" s="370" t="str">
        <f t="shared" si="8"/>
        <v/>
      </c>
      <c r="AL51" s="370" t="str">
        <f t="shared" si="9"/>
        <v/>
      </c>
      <c r="AM51" s="401" t="str">
        <f>IFERROR(IF(F51="","",IF(AH51="Check Data ⚠","Check Data ⚠",VLOOKUP(AL51, 'G-3 Multipliers'!$P$2:$Q$6,2,FALSE))),"")</f>
        <v/>
      </c>
      <c r="AN51" s="376" t="str">
        <f t="shared" si="10"/>
        <v/>
      </c>
      <c r="AO51" s="194"/>
      <c r="AP51" s="195"/>
      <c r="AQ51" s="120"/>
    </row>
    <row r="52" spans="1:43" x14ac:dyDescent="0.25">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0"/>
        <v/>
      </c>
      <c r="R52" s="193" t="str">
        <f t="shared" si="1"/>
        <v/>
      </c>
      <c r="S52" s="306" t="str">
        <f>IFERROR(INDEX('G-1 All Habitats'!$B$3:$B$134,MATCH(R52,'G-1 All Habitats'!$A$3:$A$134,0)),"")</f>
        <v/>
      </c>
      <c r="T52" s="362" t="str">
        <f t="shared" si="3"/>
        <v/>
      </c>
      <c r="U52" s="363" t="str">
        <f t="shared" si="4"/>
        <v/>
      </c>
      <c r="V52" s="398" t="str">
        <f t="shared" si="5"/>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2"/>
        <v/>
      </c>
      <c r="AE52" s="63"/>
      <c r="AF52" s="63"/>
      <c r="AG52" s="370" t="str">
        <f t="shared" si="6"/>
        <v/>
      </c>
      <c r="AH52" s="383" t="str">
        <f t="shared" si="7"/>
        <v/>
      </c>
      <c r="AI52" s="384" t="str">
        <f>IF(AH52="Check Data","Check Data",IFERROR(VLOOKUP(AH52,'G-4 Temporal multipliers'!$A$4:$C$36,3,FALSE),""))</f>
        <v/>
      </c>
      <c r="AJ52" s="362" t="str">
        <f>IF(S52="","",VLOOKUP(S52,'G-3 Multipliers'!$A$2:$E$134,4,FALSE))</f>
        <v/>
      </c>
      <c r="AK52" s="370" t="str">
        <f t="shared" si="8"/>
        <v/>
      </c>
      <c r="AL52" s="370" t="str">
        <f t="shared" si="9"/>
        <v/>
      </c>
      <c r="AM52" s="401" t="str">
        <f>IFERROR(IF(F52="","",IF(AH52="Check Data ⚠","Check Data ⚠",VLOOKUP(AL52, 'G-3 Multipliers'!$P$2:$Q$6,2,FALSE))),"")</f>
        <v/>
      </c>
      <c r="AN52" s="376" t="str">
        <f t="shared" si="10"/>
        <v/>
      </c>
      <c r="AO52" s="194"/>
      <c r="AP52" s="195"/>
      <c r="AQ52" s="120"/>
    </row>
    <row r="53" spans="1:43" x14ac:dyDescent="0.25">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0"/>
        <v/>
      </c>
      <c r="R53" s="193" t="str">
        <f t="shared" si="1"/>
        <v/>
      </c>
      <c r="S53" s="306" t="str">
        <f>IFERROR(INDEX('G-1 All Habitats'!$B$3:$B$134,MATCH(R53,'G-1 All Habitats'!$A$3:$A$134,0)),"")</f>
        <v/>
      </c>
      <c r="T53" s="362" t="str">
        <f t="shared" si="3"/>
        <v/>
      </c>
      <c r="U53" s="363" t="str">
        <f t="shared" si="4"/>
        <v/>
      </c>
      <c r="V53" s="398" t="str">
        <f t="shared" si="5"/>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2"/>
        <v/>
      </c>
      <c r="AE53" s="63"/>
      <c r="AF53" s="63"/>
      <c r="AG53" s="370" t="str">
        <f t="shared" si="6"/>
        <v/>
      </c>
      <c r="AH53" s="383" t="str">
        <f t="shared" si="7"/>
        <v/>
      </c>
      <c r="AI53" s="384" t="str">
        <f>IF(AH53="Check Data","Check Data",IFERROR(VLOOKUP(AH53,'G-4 Temporal multipliers'!$A$4:$C$36,3,FALSE),""))</f>
        <v/>
      </c>
      <c r="AJ53" s="362" t="str">
        <f>IF(S53="","",VLOOKUP(S53,'G-3 Multipliers'!$A$2:$E$134,4,FALSE))</f>
        <v/>
      </c>
      <c r="AK53" s="370" t="str">
        <f t="shared" si="8"/>
        <v/>
      </c>
      <c r="AL53" s="370" t="str">
        <f t="shared" si="9"/>
        <v/>
      </c>
      <c r="AM53" s="401" t="str">
        <f>IFERROR(IF(F53="","",IF(AH53="Check Data ⚠","Check Data ⚠",VLOOKUP(AL53, 'G-3 Multipliers'!$P$2:$Q$6,2,FALSE))),"")</f>
        <v/>
      </c>
      <c r="AN53" s="376" t="str">
        <f t="shared" si="10"/>
        <v/>
      </c>
      <c r="AO53" s="194"/>
      <c r="AP53" s="195"/>
      <c r="AQ53" s="120"/>
    </row>
    <row r="54" spans="1:43" x14ac:dyDescent="0.25">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0"/>
        <v/>
      </c>
      <c r="R54" s="193" t="str">
        <f t="shared" si="1"/>
        <v/>
      </c>
      <c r="S54" s="306" t="str">
        <f>IFERROR(INDEX('G-1 All Habitats'!$B$3:$B$134,MATCH(R54,'G-1 All Habitats'!$A$3:$A$134,0)),"")</f>
        <v/>
      </c>
      <c r="T54" s="362" t="str">
        <f t="shared" si="3"/>
        <v/>
      </c>
      <c r="U54" s="363" t="str">
        <f t="shared" si="4"/>
        <v/>
      </c>
      <c r="V54" s="398" t="str">
        <f t="shared" si="5"/>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2"/>
        <v/>
      </c>
      <c r="AE54" s="63"/>
      <c r="AF54" s="63"/>
      <c r="AG54" s="370" t="str">
        <f t="shared" si="6"/>
        <v/>
      </c>
      <c r="AH54" s="383" t="str">
        <f t="shared" si="7"/>
        <v/>
      </c>
      <c r="AI54" s="384" t="str">
        <f>IF(AH54="Check Data","Check Data",IFERROR(VLOOKUP(AH54,'G-4 Temporal multipliers'!$A$4:$C$36,3,FALSE),""))</f>
        <v/>
      </c>
      <c r="AJ54" s="362" t="str">
        <f>IF(S54="","",VLOOKUP(S54,'G-3 Multipliers'!$A$2:$E$134,4,FALSE))</f>
        <v/>
      </c>
      <c r="AK54" s="370" t="str">
        <f t="shared" si="8"/>
        <v/>
      </c>
      <c r="AL54" s="370" t="str">
        <f t="shared" si="9"/>
        <v/>
      </c>
      <c r="AM54" s="401" t="str">
        <f>IFERROR(IF(F54="","",IF(AH54="Check Data ⚠","Check Data ⚠",VLOOKUP(AL54, 'G-3 Multipliers'!$P$2:$Q$6,2,FALSE))),"")</f>
        <v/>
      </c>
      <c r="AN54" s="376" t="str">
        <f t="shared" si="10"/>
        <v/>
      </c>
      <c r="AO54" s="194"/>
      <c r="AP54" s="195"/>
      <c r="AQ54" s="120"/>
    </row>
    <row r="55" spans="1:43" x14ac:dyDescent="0.25">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0"/>
        <v/>
      </c>
      <c r="R55" s="193" t="str">
        <f t="shared" si="1"/>
        <v/>
      </c>
      <c r="S55" s="306" t="str">
        <f>IFERROR(INDEX('G-1 All Habitats'!$B$3:$B$134,MATCH(R55,'G-1 All Habitats'!$A$3:$A$134,0)),"")</f>
        <v/>
      </c>
      <c r="T55" s="362" t="str">
        <f t="shared" si="3"/>
        <v/>
      </c>
      <c r="U55" s="363" t="str">
        <f t="shared" si="4"/>
        <v/>
      </c>
      <c r="V55" s="398" t="str">
        <f t="shared" si="5"/>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2"/>
        <v/>
      </c>
      <c r="AE55" s="63"/>
      <c r="AF55" s="63"/>
      <c r="AG55" s="370" t="str">
        <f t="shared" si="6"/>
        <v/>
      </c>
      <c r="AH55" s="383" t="str">
        <f t="shared" si="7"/>
        <v/>
      </c>
      <c r="AI55" s="384" t="str">
        <f>IF(AH55="Check Data","Check Data",IFERROR(VLOOKUP(AH55,'G-4 Temporal multipliers'!$A$4:$C$36,3,FALSE),""))</f>
        <v/>
      </c>
      <c r="AJ55" s="362" t="str">
        <f>IF(S55="","",VLOOKUP(S55,'G-3 Multipliers'!$A$2:$E$134,4,FALSE))</f>
        <v/>
      </c>
      <c r="AK55" s="370" t="str">
        <f t="shared" si="8"/>
        <v/>
      </c>
      <c r="AL55" s="370" t="str">
        <f t="shared" si="9"/>
        <v/>
      </c>
      <c r="AM55" s="401" t="str">
        <f>IFERROR(IF(F55="","",IF(AH55="Check Data ⚠","Check Data ⚠",VLOOKUP(AL55, 'G-3 Multipliers'!$P$2:$Q$6,2,FALSE))),"")</f>
        <v/>
      </c>
      <c r="AN55" s="376" t="str">
        <f t="shared" si="10"/>
        <v/>
      </c>
      <c r="AO55" s="194"/>
      <c r="AP55" s="195"/>
      <c r="AQ55" s="120"/>
    </row>
    <row r="56" spans="1:43" x14ac:dyDescent="0.25">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0"/>
        <v/>
      </c>
      <c r="R56" s="193" t="str">
        <f t="shared" si="1"/>
        <v/>
      </c>
      <c r="S56" s="306" t="str">
        <f>IFERROR(INDEX('G-1 All Habitats'!$B$3:$B$134,MATCH(R56,'G-1 All Habitats'!$A$3:$A$134,0)),"")</f>
        <v/>
      </c>
      <c r="T56" s="362" t="str">
        <f t="shared" si="3"/>
        <v/>
      </c>
      <c r="U56" s="363" t="str">
        <f t="shared" si="4"/>
        <v/>
      </c>
      <c r="V56" s="398" t="str">
        <f t="shared" si="5"/>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2"/>
        <v/>
      </c>
      <c r="AE56" s="63"/>
      <c r="AF56" s="63"/>
      <c r="AG56" s="370" t="str">
        <f t="shared" si="6"/>
        <v/>
      </c>
      <c r="AH56" s="383" t="str">
        <f t="shared" si="7"/>
        <v/>
      </c>
      <c r="AI56" s="384" t="str">
        <f>IF(AH56="Check Data","Check Data",IFERROR(VLOOKUP(AH56,'G-4 Temporal multipliers'!$A$4:$C$36,3,FALSE),""))</f>
        <v/>
      </c>
      <c r="AJ56" s="362" t="str">
        <f>IF(S56="","",VLOOKUP(S56,'G-3 Multipliers'!$A$2:$E$134,4,FALSE))</f>
        <v/>
      </c>
      <c r="AK56" s="370" t="str">
        <f t="shared" si="8"/>
        <v/>
      </c>
      <c r="AL56" s="370" t="str">
        <f t="shared" si="9"/>
        <v/>
      </c>
      <c r="AM56" s="401" t="str">
        <f>IFERROR(IF(F56="","",IF(AH56="Check Data ⚠","Check Data ⚠",VLOOKUP(AL56, 'G-3 Multipliers'!$P$2:$Q$6,2,FALSE))),"")</f>
        <v/>
      </c>
      <c r="AN56" s="376" t="str">
        <f t="shared" si="10"/>
        <v/>
      </c>
      <c r="AO56" s="194"/>
      <c r="AP56" s="195"/>
      <c r="AQ56" s="120"/>
    </row>
    <row r="57" spans="1:43" x14ac:dyDescent="0.25">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0"/>
        <v/>
      </c>
      <c r="R57" s="193" t="str">
        <f t="shared" si="1"/>
        <v/>
      </c>
      <c r="S57" s="306" t="str">
        <f>IFERROR(INDEX('G-1 All Habitats'!$B$3:$B$134,MATCH(R57,'G-1 All Habitats'!$A$3:$A$134,0)),"")</f>
        <v/>
      </c>
      <c r="T57" s="362" t="str">
        <f t="shared" si="3"/>
        <v/>
      </c>
      <c r="U57" s="363" t="str">
        <f t="shared" si="4"/>
        <v/>
      </c>
      <c r="V57" s="398" t="str">
        <f t="shared" si="5"/>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2"/>
        <v/>
      </c>
      <c r="AE57" s="63"/>
      <c r="AF57" s="63"/>
      <c r="AG57" s="370" t="str">
        <f t="shared" si="6"/>
        <v/>
      </c>
      <c r="AH57" s="383" t="str">
        <f t="shared" si="7"/>
        <v/>
      </c>
      <c r="AI57" s="384" t="str">
        <f>IF(AH57="Check Data","Check Data",IFERROR(VLOOKUP(AH57,'G-4 Temporal multipliers'!$A$4:$C$36,3,FALSE),""))</f>
        <v/>
      </c>
      <c r="AJ57" s="362" t="str">
        <f>IF(S57="","",VLOOKUP(S57,'G-3 Multipliers'!$A$2:$E$134,4,FALSE))</f>
        <v/>
      </c>
      <c r="AK57" s="370" t="str">
        <f t="shared" si="8"/>
        <v/>
      </c>
      <c r="AL57" s="370" t="str">
        <f t="shared" si="9"/>
        <v/>
      </c>
      <c r="AM57" s="401" t="str">
        <f>IFERROR(IF(F57="","",IF(AH57="Check Data ⚠","Check Data ⚠",VLOOKUP(AL57, 'G-3 Multipliers'!$P$2:$Q$6,2,FALSE))),"")</f>
        <v/>
      </c>
      <c r="AN57" s="376" t="str">
        <f t="shared" si="10"/>
        <v/>
      </c>
      <c r="AO57" s="194"/>
      <c r="AP57" s="195"/>
      <c r="AQ57" s="120"/>
    </row>
    <row r="58" spans="1:43" x14ac:dyDescent="0.25">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0"/>
        <v/>
      </c>
      <c r="R58" s="193" t="str">
        <f t="shared" si="1"/>
        <v/>
      </c>
      <c r="S58" s="306" t="str">
        <f>IFERROR(INDEX('G-1 All Habitats'!$B$3:$B$134,MATCH(R58,'G-1 All Habitats'!$A$3:$A$134,0)),"")</f>
        <v/>
      </c>
      <c r="T58" s="362" t="str">
        <f t="shared" si="3"/>
        <v/>
      </c>
      <c r="U58" s="363" t="str">
        <f t="shared" si="4"/>
        <v/>
      </c>
      <c r="V58" s="398" t="str">
        <f t="shared" si="5"/>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2"/>
        <v/>
      </c>
      <c r="AE58" s="63"/>
      <c r="AF58" s="63"/>
      <c r="AG58" s="370" t="str">
        <f t="shared" si="6"/>
        <v/>
      </c>
      <c r="AH58" s="383" t="str">
        <f t="shared" si="7"/>
        <v/>
      </c>
      <c r="AI58" s="384" t="str">
        <f>IF(AH58="Check Data","Check Data",IFERROR(VLOOKUP(AH58,'G-4 Temporal multipliers'!$A$4:$C$36,3,FALSE),""))</f>
        <v/>
      </c>
      <c r="AJ58" s="362" t="str">
        <f>IF(S58="","",VLOOKUP(S58,'G-3 Multipliers'!$A$2:$E$134,4,FALSE))</f>
        <v/>
      </c>
      <c r="AK58" s="370" t="str">
        <f t="shared" si="8"/>
        <v/>
      </c>
      <c r="AL58" s="370" t="str">
        <f t="shared" si="9"/>
        <v/>
      </c>
      <c r="AM58" s="401" t="str">
        <f>IFERROR(IF(F58="","",IF(AH58="Check Data ⚠","Check Data ⚠",VLOOKUP(AL58, 'G-3 Multipliers'!$P$2:$Q$6,2,FALSE))),"")</f>
        <v/>
      </c>
      <c r="AN58" s="376" t="str">
        <f t="shared" si="10"/>
        <v/>
      </c>
      <c r="AO58" s="194"/>
      <c r="AP58" s="195"/>
      <c r="AQ58" s="120"/>
    </row>
    <row r="59" spans="1:43" x14ac:dyDescent="0.25">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0"/>
        <v/>
      </c>
      <c r="R59" s="193" t="str">
        <f t="shared" si="1"/>
        <v/>
      </c>
      <c r="S59" s="306" t="str">
        <f>IFERROR(INDEX('G-1 All Habitats'!$B$3:$B$134,MATCH(R59,'G-1 All Habitats'!$A$3:$A$134,0)),"")</f>
        <v/>
      </c>
      <c r="T59" s="362" t="str">
        <f t="shared" si="3"/>
        <v/>
      </c>
      <c r="U59" s="363" t="str">
        <f t="shared" si="4"/>
        <v/>
      </c>
      <c r="V59" s="398" t="str">
        <f t="shared" si="5"/>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2"/>
        <v/>
      </c>
      <c r="AE59" s="63"/>
      <c r="AF59" s="63"/>
      <c r="AG59" s="370" t="str">
        <f t="shared" si="6"/>
        <v/>
      </c>
      <c r="AH59" s="383" t="str">
        <f t="shared" si="7"/>
        <v/>
      </c>
      <c r="AI59" s="384" t="str">
        <f>IF(AH59="Check Data","Check Data",IFERROR(VLOOKUP(AH59,'G-4 Temporal multipliers'!$A$4:$C$36,3,FALSE),""))</f>
        <v/>
      </c>
      <c r="AJ59" s="362" t="str">
        <f>IF(S59="","",VLOOKUP(S59,'G-3 Multipliers'!$A$2:$E$134,4,FALSE))</f>
        <v/>
      </c>
      <c r="AK59" s="370" t="str">
        <f t="shared" si="8"/>
        <v/>
      </c>
      <c r="AL59" s="370" t="str">
        <f t="shared" si="9"/>
        <v/>
      </c>
      <c r="AM59" s="401" t="str">
        <f>IFERROR(IF(F59="","",IF(AH59="Check Data ⚠","Check Data ⚠",VLOOKUP(AL59, 'G-3 Multipliers'!$P$2:$Q$6,2,FALSE))),"")</f>
        <v/>
      </c>
      <c r="AN59" s="376" t="str">
        <f t="shared" si="10"/>
        <v/>
      </c>
      <c r="AO59" s="194"/>
      <c r="AP59" s="195"/>
      <c r="AQ59" s="120"/>
    </row>
    <row r="60" spans="1:43" x14ac:dyDescent="0.25">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0"/>
        <v/>
      </c>
      <c r="R60" s="193" t="str">
        <f t="shared" si="1"/>
        <v/>
      </c>
      <c r="S60" s="306" t="str">
        <f>IFERROR(INDEX('G-1 All Habitats'!$B$3:$B$134,MATCH(R60,'G-1 All Habitats'!$A$3:$A$134,0)),"")</f>
        <v/>
      </c>
      <c r="T60" s="362" t="str">
        <f t="shared" si="3"/>
        <v/>
      </c>
      <c r="U60" s="363" t="str">
        <f t="shared" si="4"/>
        <v/>
      </c>
      <c r="V60" s="398" t="str">
        <f t="shared" si="5"/>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2"/>
        <v/>
      </c>
      <c r="AE60" s="63"/>
      <c r="AF60" s="63"/>
      <c r="AG60" s="370" t="str">
        <f t="shared" si="6"/>
        <v/>
      </c>
      <c r="AH60" s="383" t="str">
        <f t="shared" si="7"/>
        <v/>
      </c>
      <c r="AI60" s="384" t="str">
        <f>IF(AH60="Check Data","Check Data",IFERROR(VLOOKUP(AH60,'G-4 Temporal multipliers'!$A$4:$C$36,3,FALSE),""))</f>
        <v/>
      </c>
      <c r="AJ60" s="362" t="str">
        <f>IF(S60="","",VLOOKUP(S60,'G-3 Multipliers'!$A$2:$E$134,4,FALSE))</f>
        <v/>
      </c>
      <c r="AK60" s="370" t="str">
        <f t="shared" si="8"/>
        <v/>
      </c>
      <c r="AL60" s="370" t="str">
        <f t="shared" si="9"/>
        <v/>
      </c>
      <c r="AM60" s="401" t="str">
        <f>IFERROR(IF(F60="","",IF(AH60="Check Data ⚠","Check Data ⚠",VLOOKUP(AL60, 'G-3 Multipliers'!$P$2:$Q$6,2,FALSE))),"")</f>
        <v/>
      </c>
      <c r="AN60" s="376" t="str">
        <f t="shared" si="10"/>
        <v/>
      </c>
      <c r="AO60" s="194"/>
      <c r="AP60" s="195"/>
      <c r="AQ60" s="120"/>
    </row>
    <row r="61" spans="1:43" x14ac:dyDescent="0.25">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0"/>
        <v/>
      </c>
      <c r="R61" s="193" t="str">
        <f t="shared" si="1"/>
        <v/>
      </c>
      <c r="S61" s="306" t="str">
        <f>IFERROR(INDEX('G-1 All Habitats'!$B$3:$B$134,MATCH(R61,'G-1 All Habitats'!$A$3:$A$134,0)),"")</f>
        <v/>
      </c>
      <c r="T61" s="362" t="str">
        <f t="shared" si="3"/>
        <v/>
      </c>
      <c r="U61" s="363" t="str">
        <f t="shared" si="4"/>
        <v/>
      </c>
      <c r="V61" s="398" t="str">
        <f t="shared" si="5"/>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2"/>
        <v/>
      </c>
      <c r="AE61" s="63"/>
      <c r="AF61" s="63"/>
      <c r="AG61" s="370" t="str">
        <f t="shared" si="6"/>
        <v/>
      </c>
      <c r="AH61" s="383" t="str">
        <f t="shared" si="7"/>
        <v/>
      </c>
      <c r="AI61" s="384" t="str">
        <f>IF(AH61="Check Data","Check Data",IFERROR(VLOOKUP(AH61,'G-4 Temporal multipliers'!$A$4:$C$36,3,FALSE),""))</f>
        <v/>
      </c>
      <c r="AJ61" s="362" t="str">
        <f>IF(S61="","",VLOOKUP(S61,'G-3 Multipliers'!$A$2:$E$134,4,FALSE))</f>
        <v/>
      </c>
      <c r="AK61" s="370" t="str">
        <f t="shared" si="8"/>
        <v/>
      </c>
      <c r="AL61" s="370" t="str">
        <f t="shared" si="9"/>
        <v/>
      </c>
      <c r="AM61" s="401" t="str">
        <f>IFERROR(IF(F61="","",IF(AH61="Check Data ⚠","Check Data ⚠",VLOOKUP(AL61, 'G-3 Multipliers'!$P$2:$Q$6,2,FALSE))),"")</f>
        <v/>
      </c>
      <c r="AN61" s="376" t="str">
        <f t="shared" si="10"/>
        <v/>
      </c>
      <c r="AO61" s="194"/>
      <c r="AP61" s="195"/>
      <c r="AQ61" s="120"/>
    </row>
    <row r="62" spans="1:43" x14ac:dyDescent="0.25">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0"/>
        <v/>
      </c>
      <c r="R62" s="193" t="str">
        <f t="shared" si="1"/>
        <v/>
      </c>
      <c r="S62" s="306" t="str">
        <f>IFERROR(INDEX('G-1 All Habitats'!$B$3:$B$134,MATCH(R62,'G-1 All Habitats'!$A$3:$A$134,0)),"")</f>
        <v/>
      </c>
      <c r="T62" s="362" t="str">
        <f t="shared" si="3"/>
        <v/>
      </c>
      <c r="U62" s="363" t="str">
        <f t="shared" si="4"/>
        <v/>
      </c>
      <c r="V62" s="398" t="str">
        <f t="shared" si="5"/>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2"/>
        <v/>
      </c>
      <c r="AE62" s="63"/>
      <c r="AF62" s="63"/>
      <c r="AG62" s="370" t="str">
        <f t="shared" si="6"/>
        <v/>
      </c>
      <c r="AH62" s="383" t="str">
        <f t="shared" si="7"/>
        <v/>
      </c>
      <c r="AI62" s="384" t="str">
        <f>IF(AH62="Check Data","Check Data",IFERROR(VLOOKUP(AH62,'G-4 Temporal multipliers'!$A$4:$C$36,3,FALSE),""))</f>
        <v/>
      </c>
      <c r="AJ62" s="362" t="str">
        <f>IF(S62="","",VLOOKUP(S62,'G-3 Multipliers'!$A$2:$E$134,4,FALSE))</f>
        <v/>
      </c>
      <c r="AK62" s="370" t="str">
        <f t="shared" si="8"/>
        <v/>
      </c>
      <c r="AL62" s="370" t="str">
        <f t="shared" si="9"/>
        <v/>
      </c>
      <c r="AM62" s="401" t="str">
        <f>IFERROR(IF(F62="","",IF(AH62="Check Data ⚠","Check Data ⚠",VLOOKUP(AL62, 'G-3 Multipliers'!$P$2:$Q$6,2,FALSE))),"")</f>
        <v/>
      </c>
      <c r="AN62" s="376" t="str">
        <f t="shared" si="10"/>
        <v/>
      </c>
      <c r="AO62" s="194"/>
      <c r="AP62" s="195"/>
      <c r="AQ62" s="120"/>
    </row>
    <row r="63" spans="1:43" x14ac:dyDescent="0.25">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0"/>
        <v/>
      </c>
      <c r="R63" s="193" t="str">
        <f t="shared" si="1"/>
        <v/>
      </c>
      <c r="S63" s="306" t="str">
        <f>IFERROR(INDEX('G-1 All Habitats'!$B$3:$B$134,MATCH(R63,'G-1 All Habitats'!$A$3:$A$134,0)),"")</f>
        <v/>
      </c>
      <c r="T63" s="362" t="str">
        <f t="shared" si="3"/>
        <v/>
      </c>
      <c r="U63" s="363" t="str">
        <f t="shared" si="4"/>
        <v/>
      </c>
      <c r="V63" s="398" t="str">
        <f t="shared" si="5"/>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2"/>
        <v/>
      </c>
      <c r="AE63" s="63"/>
      <c r="AF63" s="63"/>
      <c r="AG63" s="370" t="str">
        <f t="shared" si="6"/>
        <v/>
      </c>
      <c r="AH63" s="383" t="str">
        <f t="shared" si="7"/>
        <v/>
      </c>
      <c r="AI63" s="384" t="str">
        <f>IF(AH63="Check Data","Check Data",IFERROR(VLOOKUP(AH63,'G-4 Temporal multipliers'!$A$4:$C$36,3,FALSE),""))</f>
        <v/>
      </c>
      <c r="AJ63" s="362" t="str">
        <f>IF(S63="","",VLOOKUP(S63,'G-3 Multipliers'!$A$2:$E$134,4,FALSE))</f>
        <v/>
      </c>
      <c r="AK63" s="370" t="str">
        <f t="shared" si="8"/>
        <v/>
      </c>
      <c r="AL63" s="370" t="str">
        <f t="shared" si="9"/>
        <v/>
      </c>
      <c r="AM63" s="401" t="str">
        <f>IFERROR(IF(F63="","",IF(AH63="Check Data ⚠","Check Data ⚠",VLOOKUP(AL63, 'G-3 Multipliers'!$P$2:$Q$6,2,FALSE))),"")</f>
        <v/>
      </c>
      <c r="AN63" s="376" t="str">
        <f t="shared" si="10"/>
        <v/>
      </c>
      <c r="AO63" s="194"/>
      <c r="AP63" s="195"/>
      <c r="AQ63" s="120"/>
    </row>
    <row r="64" spans="1:43" x14ac:dyDescent="0.25">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0"/>
        <v/>
      </c>
      <c r="R64" s="193" t="str">
        <f t="shared" si="1"/>
        <v/>
      </c>
      <c r="S64" s="306" t="str">
        <f>IFERROR(INDEX('G-1 All Habitats'!$B$3:$B$134,MATCH(R64,'G-1 All Habitats'!$A$3:$A$134,0)),"")</f>
        <v/>
      </c>
      <c r="T64" s="362" t="str">
        <f t="shared" si="3"/>
        <v/>
      </c>
      <c r="U64" s="363" t="str">
        <f t="shared" si="4"/>
        <v/>
      </c>
      <c r="V64" s="398" t="str">
        <f t="shared" si="5"/>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2"/>
        <v/>
      </c>
      <c r="AE64" s="63"/>
      <c r="AF64" s="63"/>
      <c r="AG64" s="370" t="str">
        <f t="shared" si="6"/>
        <v/>
      </c>
      <c r="AH64" s="383" t="str">
        <f t="shared" si="7"/>
        <v/>
      </c>
      <c r="AI64" s="384" t="str">
        <f>IF(AH64="Check Data","Check Data",IFERROR(VLOOKUP(AH64,'G-4 Temporal multipliers'!$A$4:$C$36,3,FALSE),""))</f>
        <v/>
      </c>
      <c r="AJ64" s="362" t="str">
        <f>IF(S64="","",VLOOKUP(S64,'G-3 Multipliers'!$A$2:$E$134,4,FALSE))</f>
        <v/>
      </c>
      <c r="AK64" s="370" t="str">
        <f t="shared" si="8"/>
        <v/>
      </c>
      <c r="AL64" s="370" t="str">
        <f t="shared" si="9"/>
        <v/>
      </c>
      <c r="AM64" s="401" t="str">
        <f>IFERROR(IF(F64="","",IF(AH64="Check Data ⚠","Check Data ⚠",VLOOKUP(AL64, 'G-3 Multipliers'!$P$2:$Q$6,2,FALSE))),"")</f>
        <v/>
      </c>
      <c r="AN64" s="376" t="str">
        <f t="shared" si="10"/>
        <v/>
      </c>
      <c r="AO64" s="194"/>
      <c r="AP64" s="195"/>
      <c r="AQ64" s="120"/>
    </row>
    <row r="65" spans="1:43" x14ac:dyDescent="0.25">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0"/>
        <v/>
      </c>
      <c r="R65" s="193" t="str">
        <f t="shared" si="1"/>
        <v/>
      </c>
      <c r="S65" s="306" t="str">
        <f>IFERROR(INDEX('G-1 All Habitats'!$B$3:$B$134,MATCH(R65,'G-1 All Habitats'!$A$3:$A$134,0)),"")</f>
        <v/>
      </c>
      <c r="T65" s="362" t="str">
        <f t="shared" si="3"/>
        <v/>
      </c>
      <c r="U65" s="363" t="str">
        <f t="shared" si="4"/>
        <v/>
      </c>
      <c r="V65" s="398" t="str">
        <f t="shared" si="5"/>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2"/>
        <v/>
      </c>
      <c r="AE65" s="63"/>
      <c r="AF65" s="63"/>
      <c r="AG65" s="370" t="str">
        <f t="shared" si="6"/>
        <v/>
      </c>
      <c r="AH65" s="383" t="str">
        <f t="shared" si="7"/>
        <v/>
      </c>
      <c r="AI65" s="384" t="str">
        <f>IF(AH65="Check Data","Check Data",IFERROR(VLOOKUP(AH65,'G-4 Temporal multipliers'!$A$4:$C$36,3,FALSE),""))</f>
        <v/>
      </c>
      <c r="AJ65" s="362" t="str">
        <f>IF(S65="","",VLOOKUP(S65,'G-3 Multipliers'!$A$2:$E$134,4,FALSE))</f>
        <v/>
      </c>
      <c r="AK65" s="370" t="str">
        <f t="shared" si="8"/>
        <v/>
      </c>
      <c r="AL65" s="370" t="str">
        <f t="shared" si="9"/>
        <v/>
      </c>
      <c r="AM65" s="401" t="str">
        <f>IFERROR(IF(F65="","",IF(AH65="Check Data ⚠","Check Data ⚠",VLOOKUP(AL65, 'G-3 Multipliers'!$P$2:$Q$6,2,FALSE))),"")</f>
        <v/>
      </c>
      <c r="AN65" s="376" t="str">
        <f t="shared" si="10"/>
        <v/>
      </c>
      <c r="AO65" s="194"/>
      <c r="AP65" s="195"/>
      <c r="AQ65" s="120"/>
    </row>
    <row r="66" spans="1:43" x14ac:dyDescent="0.25">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0"/>
        <v/>
      </c>
      <c r="R66" s="193" t="str">
        <f t="shared" si="1"/>
        <v/>
      </c>
      <c r="S66" s="306" t="str">
        <f>IFERROR(INDEX('G-1 All Habitats'!$B$3:$B$134,MATCH(R66,'G-1 All Habitats'!$A$3:$A$134,0)),"")</f>
        <v/>
      </c>
      <c r="T66" s="362" t="str">
        <f t="shared" si="3"/>
        <v/>
      </c>
      <c r="U66" s="363" t="str">
        <f t="shared" si="4"/>
        <v/>
      </c>
      <c r="V66" s="398" t="str">
        <f t="shared" si="5"/>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2"/>
        <v/>
      </c>
      <c r="AE66" s="63"/>
      <c r="AF66" s="63"/>
      <c r="AG66" s="370" t="str">
        <f t="shared" si="6"/>
        <v/>
      </c>
      <c r="AH66" s="383" t="str">
        <f t="shared" si="7"/>
        <v/>
      </c>
      <c r="AI66" s="384" t="str">
        <f>IF(AH66="Check Data","Check Data",IFERROR(VLOOKUP(AH66,'G-4 Temporal multipliers'!$A$4:$C$36,3,FALSE),""))</f>
        <v/>
      </c>
      <c r="AJ66" s="362" t="str">
        <f>IF(S66="","",VLOOKUP(S66,'G-3 Multipliers'!$A$2:$E$134,4,FALSE))</f>
        <v/>
      </c>
      <c r="AK66" s="370" t="str">
        <f t="shared" si="8"/>
        <v/>
      </c>
      <c r="AL66" s="370" t="str">
        <f t="shared" si="9"/>
        <v/>
      </c>
      <c r="AM66" s="401" t="str">
        <f>IFERROR(IF(F66="","",IF(AH66="Check Data ⚠","Check Data ⚠",VLOOKUP(AL66, 'G-3 Multipliers'!$P$2:$Q$6,2,FALSE))),"")</f>
        <v/>
      </c>
      <c r="AN66" s="376" t="str">
        <f t="shared" si="10"/>
        <v/>
      </c>
      <c r="AO66" s="194"/>
      <c r="AP66" s="195"/>
      <c r="AQ66" s="120"/>
    </row>
    <row r="67" spans="1:43" x14ac:dyDescent="0.25">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0"/>
        <v/>
      </c>
      <c r="R67" s="193" t="str">
        <f t="shared" si="1"/>
        <v/>
      </c>
      <c r="S67" s="306" t="str">
        <f>IFERROR(INDEX('G-1 All Habitats'!$B$3:$B$134,MATCH(R67,'G-1 All Habitats'!$A$3:$A$134,0)),"")</f>
        <v/>
      </c>
      <c r="T67" s="362" t="str">
        <f t="shared" si="3"/>
        <v/>
      </c>
      <c r="U67" s="363" t="str">
        <f t="shared" si="4"/>
        <v/>
      </c>
      <c r="V67" s="398" t="str">
        <f t="shared" si="5"/>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2"/>
        <v/>
      </c>
      <c r="AE67" s="63"/>
      <c r="AF67" s="63"/>
      <c r="AG67" s="370" t="str">
        <f t="shared" si="6"/>
        <v/>
      </c>
      <c r="AH67" s="383" t="str">
        <f t="shared" si="7"/>
        <v/>
      </c>
      <c r="AI67" s="384" t="str">
        <f>IF(AH67="Check Data","Check Data",IFERROR(VLOOKUP(AH67,'G-4 Temporal multipliers'!$A$4:$C$36,3,FALSE),""))</f>
        <v/>
      </c>
      <c r="AJ67" s="362" t="str">
        <f>IF(S67="","",VLOOKUP(S67,'G-3 Multipliers'!$A$2:$E$134,4,FALSE))</f>
        <v/>
      </c>
      <c r="AK67" s="370" t="str">
        <f t="shared" si="8"/>
        <v/>
      </c>
      <c r="AL67" s="370" t="str">
        <f t="shared" si="9"/>
        <v/>
      </c>
      <c r="AM67" s="401" t="str">
        <f>IFERROR(IF(F67="","",IF(AH67="Check Data ⚠","Check Data ⚠",VLOOKUP(AL67, 'G-3 Multipliers'!$P$2:$Q$6,2,FALSE))),"")</f>
        <v/>
      </c>
      <c r="AN67" s="376" t="str">
        <f t="shared" si="10"/>
        <v/>
      </c>
      <c r="AO67" s="194"/>
      <c r="AP67" s="195"/>
      <c r="AQ67" s="120"/>
    </row>
    <row r="68" spans="1:43" x14ac:dyDescent="0.25">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0"/>
        <v/>
      </c>
      <c r="R68" s="193" t="str">
        <f t="shared" si="1"/>
        <v/>
      </c>
      <c r="S68" s="306" t="str">
        <f>IFERROR(INDEX('G-1 All Habitats'!$B$3:$B$134,MATCH(R68,'G-1 All Habitats'!$A$3:$A$134,0)),"")</f>
        <v/>
      </c>
      <c r="T68" s="362" t="str">
        <f t="shared" si="3"/>
        <v/>
      </c>
      <c r="U68" s="363" t="str">
        <f t="shared" si="4"/>
        <v/>
      </c>
      <c r="V68" s="398" t="str">
        <f t="shared" si="5"/>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2"/>
        <v/>
      </c>
      <c r="AE68" s="63"/>
      <c r="AF68" s="63"/>
      <c r="AG68" s="370" t="str">
        <f t="shared" si="6"/>
        <v/>
      </c>
      <c r="AH68" s="383" t="str">
        <f t="shared" si="7"/>
        <v/>
      </c>
      <c r="AI68" s="384" t="str">
        <f>IF(AH68="Check Data","Check Data",IFERROR(VLOOKUP(AH68,'G-4 Temporal multipliers'!$A$4:$C$36,3,FALSE),""))</f>
        <v/>
      </c>
      <c r="AJ68" s="362" t="str">
        <f>IF(S68="","",VLOOKUP(S68,'G-3 Multipliers'!$A$2:$E$134,4,FALSE))</f>
        <v/>
      </c>
      <c r="AK68" s="370" t="str">
        <f t="shared" si="8"/>
        <v/>
      </c>
      <c r="AL68" s="370" t="str">
        <f t="shared" si="9"/>
        <v/>
      </c>
      <c r="AM68" s="401" t="str">
        <f>IFERROR(IF(F68="","",IF(AH68="Check Data ⚠","Check Data ⚠",VLOOKUP(AL68, 'G-3 Multipliers'!$P$2:$Q$6,2,FALSE))),"")</f>
        <v/>
      </c>
      <c r="AN68" s="376" t="str">
        <f t="shared" si="10"/>
        <v/>
      </c>
      <c r="AO68" s="194"/>
      <c r="AP68" s="195"/>
      <c r="AQ68" s="120"/>
    </row>
    <row r="69" spans="1:43" x14ac:dyDescent="0.25">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0"/>
        <v/>
      </c>
      <c r="R69" s="193" t="str">
        <f t="shared" si="1"/>
        <v/>
      </c>
      <c r="S69" s="306" t="str">
        <f>IFERROR(INDEX('G-1 All Habitats'!$B$3:$B$134,MATCH(R69,'G-1 All Habitats'!$A$3:$A$134,0)),"")</f>
        <v/>
      </c>
      <c r="T69" s="362" t="str">
        <f t="shared" si="3"/>
        <v/>
      </c>
      <c r="U69" s="363" t="str">
        <f t="shared" si="4"/>
        <v/>
      </c>
      <c r="V69" s="398" t="str">
        <f t="shared" si="5"/>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2"/>
        <v/>
      </c>
      <c r="AE69" s="63"/>
      <c r="AF69" s="63"/>
      <c r="AG69" s="370" t="str">
        <f t="shared" si="6"/>
        <v/>
      </c>
      <c r="AH69" s="383" t="str">
        <f t="shared" si="7"/>
        <v/>
      </c>
      <c r="AI69" s="384" t="str">
        <f>IF(AH69="Check Data","Check Data",IFERROR(VLOOKUP(AH69,'G-4 Temporal multipliers'!$A$4:$C$36,3,FALSE),""))</f>
        <v/>
      </c>
      <c r="AJ69" s="362" t="str">
        <f>IF(S69="","",VLOOKUP(S69,'G-3 Multipliers'!$A$2:$E$134,4,FALSE))</f>
        <v/>
      </c>
      <c r="AK69" s="370" t="str">
        <f t="shared" si="8"/>
        <v/>
      </c>
      <c r="AL69" s="370" t="str">
        <f t="shared" si="9"/>
        <v/>
      </c>
      <c r="AM69" s="401" t="str">
        <f>IFERROR(IF(F69="","",IF(AH69="Check Data ⚠","Check Data ⚠",VLOOKUP(AL69, 'G-3 Multipliers'!$P$2:$Q$6,2,FALSE))),"")</f>
        <v/>
      </c>
      <c r="AN69" s="376" t="str">
        <f t="shared" si="10"/>
        <v/>
      </c>
      <c r="AO69" s="194"/>
      <c r="AP69" s="195"/>
      <c r="AQ69" s="120"/>
    </row>
    <row r="70" spans="1:43" x14ac:dyDescent="0.25">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0"/>
        <v/>
      </c>
      <c r="R70" s="193" t="str">
        <f t="shared" si="1"/>
        <v/>
      </c>
      <c r="S70" s="306" t="str">
        <f>IFERROR(INDEX('G-1 All Habitats'!$B$3:$B$134,MATCH(R70,'G-1 All Habitats'!$A$3:$A$134,0)),"")</f>
        <v/>
      </c>
      <c r="T70" s="362" t="str">
        <f t="shared" si="3"/>
        <v/>
      </c>
      <c r="U70" s="363" t="str">
        <f t="shared" si="4"/>
        <v/>
      </c>
      <c r="V70" s="398" t="str">
        <f t="shared" si="5"/>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2"/>
        <v/>
      </c>
      <c r="AE70" s="63"/>
      <c r="AF70" s="63"/>
      <c r="AG70" s="370" t="str">
        <f t="shared" si="6"/>
        <v/>
      </c>
      <c r="AH70" s="383" t="str">
        <f t="shared" si="7"/>
        <v/>
      </c>
      <c r="AI70" s="384" t="str">
        <f>IF(AH70="Check Data","Check Data",IFERROR(VLOOKUP(AH70,'G-4 Temporal multipliers'!$A$4:$C$36,3,FALSE),""))</f>
        <v/>
      </c>
      <c r="AJ70" s="362" t="str">
        <f>IF(S70="","",VLOOKUP(S70,'G-3 Multipliers'!$A$2:$E$134,4,FALSE))</f>
        <v/>
      </c>
      <c r="AK70" s="370" t="str">
        <f t="shared" si="8"/>
        <v/>
      </c>
      <c r="AL70" s="370" t="str">
        <f t="shared" si="9"/>
        <v/>
      </c>
      <c r="AM70" s="401" t="str">
        <f>IFERROR(IF(F70="","",IF(AH70="Check Data ⚠","Check Data ⚠",VLOOKUP(AL70, 'G-3 Multipliers'!$P$2:$Q$6,2,FALSE))),"")</f>
        <v/>
      </c>
      <c r="AN70" s="376" t="str">
        <f t="shared" si="10"/>
        <v/>
      </c>
      <c r="AO70" s="194"/>
      <c r="AP70" s="195"/>
      <c r="AQ70" s="120"/>
    </row>
    <row r="71" spans="1:43" x14ac:dyDescent="0.25">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0"/>
        <v/>
      </c>
      <c r="R71" s="193" t="str">
        <f t="shared" si="1"/>
        <v/>
      </c>
      <c r="S71" s="306" t="str">
        <f>IFERROR(INDEX('G-1 All Habitats'!$B$3:$B$134,MATCH(R71,'G-1 All Habitats'!$A$3:$A$134,0)),"")</f>
        <v/>
      </c>
      <c r="T71" s="362" t="str">
        <f t="shared" si="3"/>
        <v/>
      </c>
      <c r="U71" s="363" t="str">
        <f t="shared" si="4"/>
        <v/>
      </c>
      <c r="V71" s="398" t="str">
        <f t="shared" si="5"/>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2"/>
        <v/>
      </c>
      <c r="AE71" s="63"/>
      <c r="AF71" s="63"/>
      <c r="AG71" s="370" t="str">
        <f t="shared" si="6"/>
        <v/>
      </c>
      <c r="AH71" s="383" t="str">
        <f t="shared" si="7"/>
        <v/>
      </c>
      <c r="AI71" s="384" t="str">
        <f>IF(AH71="Check Data","Check Data",IFERROR(VLOOKUP(AH71,'G-4 Temporal multipliers'!$A$4:$C$36,3,FALSE),""))</f>
        <v/>
      </c>
      <c r="AJ71" s="362" t="str">
        <f>IF(S71="","",VLOOKUP(S71,'G-3 Multipliers'!$A$2:$E$134,4,FALSE))</f>
        <v/>
      </c>
      <c r="AK71" s="370" t="str">
        <f t="shared" si="8"/>
        <v/>
      </c>
      <c r="AL71" s="370" t="str">
        <f t="shared" si="9"/>
        <v/>
      </c>
      <c r="AM71" s="401" t="str">
        <f>IFERROR(IF(F71="","",IF(AH71="Check Data ⚠","Check Data ⚠",VLOOKUP(AL71, 'G-3 Multipliers'!$P$2:$Q$6,2,FALSE))),"")</f>
        <v/>
      </c>
      <c r="AN71" s="376" t="str">
        <f t="shared" si="10"/>
        <v/>
      </c>
      <c r="AO71" s="194"/>
      <c r="AP71" s="195"/>
      <c r="AQ71" s="120"/>
    </row>
    <row r="72" spans="1:43" x14ac:dyDescent="0.25">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0"/>
        <v/>
      </c>
      <c r="R72" s="193" t="str">
        <f t="shared" si="1"/>
        <v/>
      </c>
      <c r="S72" s="306" t="str">
        <f>IFERROR(INDEX('G-1 All Habitats'!$B$3:$B$134,MATCH(R72,'G-1 All Habitats'!$A$3:$A$134,0)),"")</f>
        <v/>
      </c>
      <c r="T72" s="362" t="str">
        <f t="shared" si="3"/>
        <v/>
      </c>
      <c r="U72" s="363" t="str">
        <f t="shared" si="4"/>
        <v/>
      </c>
      <c r="V72" s="398" t="str">
        <f t="shared" si="5"/>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2"/>
        <v/>
      </c>
      <c r="AE72" s="63"/>
      <c r="AF72" s="63"/>
      <c r="AG72" s="370" t="str">
        <f t="shared" si="6"/>
        <v/>
      </c>
      <c r="AH72" s="383" t="str">
        <f t="shared" si="7"/>
        <v/>
      </c>
      <c r="AI72" s="384" t="str">
        <f>IF(AH72="Check Data","Check Data",IFERROR(VLOOKUP(AH72,'G-4 Temporal multipliers'!$A$4:$C$36,3,FALSE),""))</f>
        <v/>
      </c>
      <c r="AJ72" s="362" t="str">
        <f>IF(S72="","",VLOOKUP(S72,'G-3 Multipliers'!$A$2:$E$134,4,FALSE))</f>
        <v/>
      </c>
      <c r="AK72" s="370" t="str">
        <f t="shared" si="8"/>
        <v/>
      </c>
      <c r="AL72" s="370" t="str">
        <f t="shared" si="9"/>
        <v/>
      </c>
      <c r="AM72" s="401" t="str">
        <f>IFERROR(IF(F72="","",IF(AH72="Check Data ⚠","Check Data ⚠",VLOOKUP(AL72, 'G-3 Multipliers'!$P$2:$Q$6,2,FALSE))),"")</f>
        <v/>
      </c>
      <c r="AN72" s="376" t="str">
        <f t="shared" si="10"/>
        <v/>
      </c>
      <c r="AO72" s="194"/>
      <c r="AP72" s="195"/>
      <c r="AQ72" s="120"/>
    </row>
    <row r="73" spans="1:43" x14ac:dyDescent="0.25">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0"/>
        <v/>
      </c>
      <c r="R73" s="193" t="str">
        <f t="shared" si="1"/>
        <v/>
      </c>
      <c r="S73" s="306" t="str">
        <f>IFERROR(INDEX('G-1 All Habitats'!$B$3:$B$134,MATCH(R73,'G-1 All Habitats'!$A$3:$A$134,0)),"")</f>
        <v/>
      </c>
      <c r="T73" s="362" t="str">
        <f t="shared" si="3"/>
        <v/>
      </c>
      <c r="U73" s="363" t="str">
        <f t="shared" si="4"/>
        <v/>
      </c>
      <c r="V73" s="398" t="str">
        <f t="shared" si="5"/>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2"/>
        <v/>
      </c>
      <c r="AE73" s="63"/>
      <c r="AF73" s="63"/>
      <c r="AG73" s="370" t="str">
        <f t="shared" si="6"/>
        <v/>
      </c>
      <c r="AH73" s="383" t="str">
        <f t="shared" si="7"/>
        <v/>
      </c>
      <c r="AI73" s="384" t="str">
        <f>IF(AH73="Check Data","Check Data",IFERROR(VLOOKUP(AH73,'G-4 Temporal multipliers'!$A$4:$C$36,3,FALSE),""))</f>
        <v/>
      </c>
      <c r="AJ73" s="362" t="str">
        <f>IF(S73="","",VLOOKUP(S73,'G-3 Multipliers'!$A$2:$E$134,4,FALSE))</f>
        <v/>
      </c>
      <c r="AK73" s="370" t="str">
        <f t="shared" si="8"/>
        <v/>
      </c>
      <c r="AL73" s="370" t="str">
        <f t="shared" si="9"/>
        <v/>
      </c>
      <c r="AM73" s="401" t="str">
        <f>IFERROR(IF(F73="","",IF(AH73="Check Data ⚠","Check Data ⚠",VLOOKUP(AL73, 'G-3 Multipliers'!$P$2:$Q$6,2,FALSE))),"")</f>
        <v/>
      </c>
      <c r="AN73" s="376" t="str">
        <f t="shared" si="10"/>
        <v/>
      </c>
      <c r="AO73" s="194"/>
      <c r="AP73" s="195"/>
      <c r="AQ73" s="120"/>
    </row>
    <row r="74" spans="1:43" x14ac:dyDescent="0.25">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0"/>
        <v/>
      </c>
      <c r="R74" s="193" t="str">
        <f t="shared" si="1"/>
        <v/>
      </c>
      <c r="S74" s="306" t="str">
        <f>IFERROR(INDEX('G-1 All Habitats'!$B$3:$B$134,MATCH(R74,'G-1 All Habitats'!$A$3:$A$134,0)),"")</f>
        <v/>
      </c>
      <c r="T74" s="362" t="str">
        <f t="shared" si="3"/>
        <v/>
      </c>
      <c r="U74" s="363" t="str">
        <f t="shared" si="4"/>
        <v/>
      </c>
      <c r="V74" s="398" t="str">
        <f t="shared" si="5"/>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2"/>
        <v/>
      </c>
      <c r="AE74" s="63"/>
      <c r="AF74" s="63"/>
      <c r="AG74" s="370" t="str">
        <f t="shared" si="6"/>
        <v/>
      </c>
      <c r="AH74" s="383" t="str">
        <f t="shared" si="7"/>
        <v/>
      </c>
      <c r="AI74" s="384" t="str">
        <f>IF(AH74="Check Data","Check Data",IFERROR(VLOOKUP(AH74,'G-4 Temporal multipliers'!$A$4:$C$36,3,FALSE),""))</f>
        <v/>
      </c>
      <c r="AJ74" s="362" t="str">
        <f>IF(S74="","",VLOOKUP(S74,'G-3 Multipliers'!$A$2:$E$134,4,FALSE))</f>
        <v/>
      </c>
      <c r="AK74" s="370" t="str">
        <f t="shared" si="8"/>
        <v/>
      </c>
      <c r="AL74" s="370" t="str">
        <f t="shared" si="9"/>
        <v/>
      </c>
      <c r="AM74" s="401" t="str">
        <f>IFERROR(IF(F74="","",IF(AH74="Check Data ⚠","Check Data ⚠",VLOOKUP(AL74, 'G-3 Multipliers'!$P$2:$Q$6,2,FALSE))),"")</f>
        <v/>
      </c>
      <c r="AN74" s="376" t="str">
        <f t="shared" si="10"/>
        <v/>
      </c>
      <c r="AO74" s="194"/>
      <c r="AP74" s="195"/>
      <c r="AQ74" s="120"/>
    </row>
    <row r="75" spans="1:43" x14ac:dyDescent="0.25">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0"/>
        <v/>
      </c>
      <c r="R75" s="193" t="str">
        <f t="shared" si="1"/>
        <v/>
      </c>
      <c r="S75" s="306" t="str">
        <f>IFERROR(INDEX('G-1 All Habitats'!$B$3:$B$134,MATCH(R75,'G-1 All Habitats'!$A$3:$A$134,0)),"")</f>
        <v/>
      </c>
      <c r="T75" s="362" t="str">
        <f t="shared" si="3"/>
        <v/>
      </c>
      <c r="U75" s="363" t="str">
        <f t="shared" si="4"/>
        <v/>
      </c>
      <c r="V75" s="398" t="str">
        <f t="shared" si="5"/>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2"/>
        <v/>
      </c>
      <c r="AE75" s="63"/>
      <c r="AF75" s="63"/>
      <c r="AG75" s="370" t="str">
        <f t="shared" si="6"/>
        <v/>
      </c>
      <c r="AH75" s="383" t="str">
        <f t="shared" si="7"/>
        <v/>
      </c>
      <c r="AI75" s="384" t="str">
        <f>IF(AH75="Check Data","Check Data",IFERROR(VLOOKUP(AH75,'G-4 Temporal multipliers'!$A$4:$C$36,3,FALSE),""))</f>
        <v/>
      </c>
      <c r="AJ75" s="362" t="str">
        <f>IF(S75="","",VLOOKUP(S75,'G-3 Multipliers'!$A$2:$E$134,4,FALSE))</f>
        <v/>
      </c>
      <c r="AK75" s="370" t="str">
        <f t="shared" si="8"/>
        <v/>
      </c>
      <c r="AL75" s="370" t="str">
        <f t="shared" si="9"/>
        <v/>
      </c>
      <c r="AM75" s="401" t="str">
        <f>IFERROR(IF(F75="","",IF(AH75="Check Data ⚠","Check Data ⚠",VLOOKUP(AL75, 'G-3 Multipliers'!$P$2:$Q$6,2,FALSE))),"")</f>
        <v/>
      </c>
      <c r="AN75" s="376" t="str">
        <f t="shared" si="10"/>
        <v/>
      </c>
      <c r="AO75" s="194"/>
      <c r="AP75" s="195"/>
      <c r="AQ75" s="120"/>
    </row>
    <row r="76" spans="1:43" x14ac:dyDescent="0.25">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0"/>
        <v/>
      </c>
      <c r="R76" s="193" t="str">
        <f t="shared" si="1"/>
        <v/>
      </c>
      <c r="S76" s="306" t="str">
        <f>IFERROR(INDEX('G-1 All Habitats'!$B$3:$B$134,MATCH(R76,'G-1 All Habitats'!$A$3:$A$134,0)),"")</f>
        <v/>
      </c>
      <c r="T76" s="362" t="str">
        <f t="shared" si="3"/>
        <v/>
      </c>
      <c r="U76" s="363" t="str">
        <f t="shared" si="4"/>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6"/>
        <v/>
      </c>
      <c r="AH76" s="383" t="str">
        <f t="shared" si="7"/>
        <v/>
      </c>
      <c r="AI76" s="384" t="str">
        <f>IF(AH76="Check Data","Check Data",IFERROR(VLOOKUP(AH76,'G-4 Temporal multipliers'!$A$4:$C$36,3,FALSE),""))</f>
        <v/>
      </c>
      <c r="AJ76" s="362" t="str">
        <f>IF(S76="","",VLOOKUP(S76,'G-3 Multipliers'!$A$2:$E$134,4,FALSE))</f>
        <v/>
      </c>
      <c r="AK76" s="370" t="str">
        <f t="shared" si="8"/>
        <v/>
      </c>
      <c r="AL76" s="370" t="str">
        <f t="shared" si="9"/>
        <v/>
      </c>
      <c r="AM76" s="401" t="str">
        <f>IFERROR(IF(F76="","",IF(AH76="Check Data ⚠","Check Data ⚠",VLOOKUP(AL76, 'G-3 Multipliers'!$P$2:$Q$6,2,FALSE))),"")</f>
        <v/>
      </c>
      <c r="AN76" s="376" t="str">
        <f t="shared" si="10"/>
        <v/>
      </c>
      <c r="AO76" s="194"/>
      <c r="AP76" s="195"/>
      <c r="AQ76" s="120"/>
    </row>
    <row r="77" spans="1:43" x14ac:dyDescent="0.25">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25">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25">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25">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25">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25">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25">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25">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25">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25">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25">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25">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25">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25">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25">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25">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25">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25">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25">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25">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25">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25">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25">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25">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25">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25">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25">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25">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25">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25">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25">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25">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25">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25">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25">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25">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25">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25">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25">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25">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25">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25">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25">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25">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25">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25">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25">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25">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25">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25">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25">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25">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25">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25">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25">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25">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25">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25">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25">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25">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25">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25">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25">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25">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25">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25">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25">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25">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25">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25">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25">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25">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25">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25">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25">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25">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25">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25">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25">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25">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25">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25">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25">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25">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25">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25">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25">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25">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25">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25">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25">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25">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25">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25">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25">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25">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25">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25">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25">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25">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25">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25">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25">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25">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25">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25">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25">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25">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25">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25">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25">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25">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25">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25">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25">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25">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25">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25">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25">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25">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25">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25">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25">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25">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25">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25">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25">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25">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25">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25">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25">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25">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25">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25">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25">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25">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25">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25">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25">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25">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25">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25">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25">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25">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25">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25">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25">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25">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25">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25">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25">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25">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25">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25">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25">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25">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25">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25">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25">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25">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25">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25">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25">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25">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25">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25">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25">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25">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25">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25">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25">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25">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25">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25">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25">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25">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25">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25">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25">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25">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4" thickBot="1" x14ac:dyDescent="0.3">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4" thickBot="1" x14ac:dyDescent="0.3">
      <c r="E258" s="324"/>
      <c r="F258" s="324"/>
      <c r="G258" s="324"/>
      <c r="H258" s="324"/>
      <c r="I258" s="324"/>
      <c r="J258" s="324"/>
      <c r="K258" s="324"/>
      <c r="L258" s="324"/>
      <c r="M258" s="324"/>
      <c r="N258" s="324"/>
      <c r="O258" s="324"/>
      <c r="P258" s="324"/>
      <c r="Q258" s="324"/>
      <c r="R258" s="324"/>
      <c r="S258" s="324"/>
      <c r="T258" s="324"/>
      <c r="U258" s="890" t="s">
        <v>329</v>
      </c>
      <c r="V258" s="366">
        <f>SUM(V12:V257)</f>
        <v>0</v>
      </c>
      <c r="W258" s="324"/>
      <c r="X258" s="324"/>
      <c r="Y258" s="324"/>
      <c r="Z258" s="324"/>
      <c r="AA258" s="324"/>
      <c r="AB258" s="324"/>
      <c r="AC258" s="324"/>
      <c r="AD258" s="324"/>
      <c r="AE258" s="324"/>
      <c r="AF258" s="324"/>
      <c r="AG258" s="324"/>
      <c r="AH258" s="324"/>
      <c r="AI258" s="324"/>
      <c r="AJ258" s="324"/>
      <c r="AK258" s="324"/>
      <c r="AL258" s="324"/>
      <c r="AM258" s="223"/>
      <c r="AN258" s="366">
        <f>(SUM(AN12:AN257))</f>
        <v>0</v>
      </c>
      <c r="AO258" s="324"/>
      <c r="AP258" s="324"/>
    </row>
    <row r="259" spans="1:43" ht="17.399999999999999" x14ac:dyDescent="0.3">
      <c r="V259" s="1486" t="str">
        <f>IF(V258&lt;&gt;'A-1 On-Site Habitat Baseline'!T259,"Error - Area of habitat enhancement must match the area from sheet A1 ▲","")</f>
        <v/>
      </c>
      <c r="W259" s="1486"/>
      <c r="X259" s="1486"/>
      <c r="Y259" s="1486"/>
      <c r="Z259" s="1486"/>
      <c r="AA259" s="1486"/>
    </row>
    <row r="260" spans="1:43" x14ac:dyDescent="0.25"/>
    <row r="261" spans="1:43" x14ac:dyDescent="0.25"/>
    <row r="262" spans="1:43" x14ac:dyDescent="0.25"/>
    <row r="263" spans="1:43" x14ac:dyDescent="0.25"/>
    <row r="264" spans="1:43" x14ac:dyDescent="0.25"/>
    <row r="265" spans="1:43" x14ac:dyDescent="0.25"/>
    <row r="266" spans="1:43" x14ac:dyDescent="0.25"/>
  </sheetData>
  <sheetProtection algorithmName="SHA-512" hashValue="BUSQndD7QOSvSAEiifi+lzLI9es1AomV9mv94NGE9WOUs3j/JzTPWGnSaFZND9WKpztK0FzSi6LW550TsGIF0w==" saltValue="wB4eVOiU8uku6FhwWUqwfg=="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T5:U5"/>
    <mergeCell ref="R2:U2"/>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s>
  <conditionalFormatting sqref="O12:O257">
    <cfRule type="beginsWith" dxfId="481" priority="22" operator="beginsWith" text="Bespoke">
      <formula>LEFT(O12,LEN("Bespoke"))="Bespoke"</formula>
    </cfRule>
    <cfRule type="beginsWith" dxfId="480" priority="23" operator="beginsWith" text="Same distinctiveness">
      <formula>LEFT(O12,LEN("Same distinctiveness"))="Same distinctiveness"</formula>
    </cfRule>
    <cfRule type="beginsWith" dxfId="479" priority="24" operator="beginsWith" text="Same broad">
      <formula>LEFT(O12,LEN("Same broad"))="Same broad"</formula>
    </cfRule>
    <cfRule type="beginsWith" dxfId="478" priority="25" operator="beginsWith" text="Same Habitat">
      <formula>LEFT(O12,LEN("Same Habitat"))="Same Habitat"</formula>
    </cfRule>
  </conditionalFormatting>
  <conditionalFormatting sqref="R6:T8">
    <cfRule type="containsText" dxfId="477" priority="9" operator="containsText" text="⚠">
      <formula>NOT(ISERROR(SEARCH("⚠",R6)))</formula>
    </cfRule>
  </conditionalFormatting>
  <conditionalFormatting sqref="T3">
    <cfRule type="containsText" dxfId="476" priority="7" operator="containsText" text="Check">
      <formula>NOT(ISERROR(SEARCH("Check",T3)))</formula>
    </cfRule>
    <cfRule type="containsText" dxfId="475" priority="8" operator="containsText" text="Error">
      <formula>NOT(ISERROR(SEARCH("Error",T3)))</formula>
    </cfRule>
  </conditionalFormatting>
  <conditionalFormatting sqref="T4">
    <cfRule type="containsText" dxfId="474" priority="4" operator="containsText" text="Error">
      <formula>NOT(ISERROR(SEARCH("Error",T4)))</formula>
    </cfRule>
    <cfRule type="containsText" dxfId="473" priority="6" operator="containsText" text="Check">
      <formula>NOT(ISERROR(SEARCH("Check",T4)))</formula>
    </cfRule>
    <cfRule type="cellIs" dxfId="472" priority="17" operator="lessThan">
      <formula>0</formula>
    </cfRule>
  </conditionalFormatting>
  <conditionalFormatting sqref="T5">
    <cfRule type="containsText" dxfId="470" priority="11" operator="containsText" text="No">
      <formula>NOT(ISERROR(SEARCH("No",T5)))</formula>
    </cfRule>
    <cfRule type="containsText" dxfId="469" priority="12" operator="containsText" text="Yes">
      <formula>NOT(ISERROR(SEARCH("Yes",T5)))</formula>
    </cfRule>
  </conditionalFormatting>
  <conditionalFormatting sqref="T12:T257">
    <cfRule type="containsText" dxfId="468" priority="38" operator="containsText" text="Error">
      <formula>NOT(ISERROR(SEARCH("Error",T12)))</formula>
    </cfRule>
  </conditionalFormatting>
  <conditionalFormatting sqref="T3:U5">
    <cfRule type="containsText" dxfId="467" priority="1" operator="containsText" text="N/A">
      <formula>NOT(ISERROR(SEARCH("N/A",T3)))</formula>
    </cfRule>
  </conditionalFormatting>
  <conditionalFormatting sqref="T4:U4">
    <cfRule type="cellIs" dxfId="465" priority="16" operator="equal">
      <formula>0</formula>
    </cfRule>
  </conditionalFormatting>
  <conditionalFormatting sqref="U12:U257">
    <cfRule type="containsText" dxfId="464" priority="37" operator="containsText" text="Error">
      <formula>NOT(ISERROR(SEARCH("Error",U12)))</formula>
    </cfRule>
  </conditionalFormatting>
  <conditionalFormatting sqref="U258">
    <cfRule type="containsText" dxfId="463" priority="2" operator="containsText" text="Error">
      <formula>NOT(ISERROR(SEARCH("Error",U258)))</formula>
    </cfRule>
    <cfRule type="containsText" dxfId="462" priority="3" operator="containsText" text="Check">
      <formula>NOT(ISERROR(SEARCH("Check",U258)))</formula>
    </cfRule>
  </conditionalFormatting>
  <conditionalFormatting sqref="V2:AA5">
    <cfRule type="containsText" dxfId="461" priority="10" operator="containsText" text="Check">
      <formula>NOT(ISERROR(SEARCH("Check",V2)))</formula>
    </cfRule>
  </conditionalFormatting>
  <conditionalFormatting sqref="V259:AA259">
    <cfRule type="containsText" dxfId="460" priority="21" operator="containsText" text="Error">
      <formula>NOT(ISERROR(SEARCH("Error",V259)))</formula>
    </cfRule>
  </conditionalFormatting>
  <conditionalFormatting sqref="Z12:Z257">
    <cfRule type="cellIs" dxfId="459" priority="51" operator="equal">
      <formula>"Not Possible"</formula>
    </cfRule>
  </conditionalFormatting>
  <conditionalFormatting sqref="AB12:AC257">
    <cfRule type="containsText" dxfId="458" priority="35" operator="containsText" text="Spatial">
      <formula>NOT(ISERROR(SEARCH("Spatial",AB12)))</formula>
    </cfRule>
  </conditionalFormatting>
  <conditionalFormatting sqref="AD2">
    <cfRule type="containsText" dxfId="457" priority="39" operator="containsText" text="Note">
      <formula>NOT(ISERROR(SEARCH("Note",AD2)))</formula>
    </cfRule>
  </conditionalFormatting>
  <conditionalFormatting sqref="AD5">
    <cfRule type="containsText" dxfId="456" priority="20" operator="containsText" text="Change">
      <formula>NOT(ISERROR(SEARCH("Change",AD5)))</formula>
    </cfRule>
  </conditionalFormatting>
  <conditionalFormatting sqref="AD12:AD257">
    <cfRule type="containsText" dxfId="455" priority="34" operator="containsText" text="Check Data">
      <formula>NOT(ISERROR(SEARCH("Check Data",AD12)))</formula>
    </cfRule>
  </conditionalFormatting>
  <conditionalFormatting sqref="AG12:AG257">
    <cfRule type="containsText" dxfId="454" priority="32" operator="containsText" text="Error">
      <formula>NOT(ISERROR(SEARCH("Error",AG12)))</formula>
    </cfRule>
    <cfRule type="containsText" dxfId="453" priority="33" operator="containsText" text="Check">
      <formula>NOT(ISERROR(SEARCH("Check",AG12)))</formula>
    </cfRule>
  </conditionalFormatting>
  <conditionalFormatting sqref="AH12:AH257">
    <cfRule type="containsText" dxfId="452" priority="30" operator="containsText" text="Check Data ⚠">
      <formula>NOT(ISERROR(SEARCH("Check Data ⚠",AH12)))</formula>
    </cfRule>
    <cfRule type="containsText" dxfId="451" priority="31" operator="containsText" text="Error ▲">
      <formula>NOT(ISERROR(SEARCH("Error ▲",AH12)))</formula>
    </cfRule>
  </conditionalFormatting>
  <conditionalFormatting sqref="AI12:AI257">
    <cfRule type="containsText" dxfId="450" priority="28" operator="containsText" text="Check Data ⚠">
      <formula>NOT(ISERROR(SEARCH("Check Data ⚠",AI12)))</formula>
    </cfRule>
  </conditionalFormatting>
  <conditionalFormatting sqref="AK12:AK257">
    <cfRule type="containsText" dxfId="449" priority="27"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48" priority="26" operator="containsText" text="Check Data ⚠">
      <formula>NOT(ISERROR(SEARCH("Check Data ⚠",AM12)))</formula>
    </cfRule>
  </conditionalFormatting>
  <conditionalFormatting sqref="AN12:AN257">
    <cfRule type="containsText" dxfId="447" priority="42" operator="containsText" text="Existing Value Not Required">
      <formula>NOT(ISERROR(SEARCH("Existing Value Not Required",AN12)))</formula>
    </cfRule>
    <cfRule type="containsText" dxfId="446" priority="43" operator="containsText" text="Existing Value Required">
      <formula>NOT(ISERROR(SEARCH("Existing Value Required",AN12)))</formula>
    </cfRule>
  </conditionalFormatting>
  <conditionalFormatting sqref="AN256:AN257">
    <cfRule type="containsText" dxfId="445" priority="40" operator="containsText" text="Existing Value Not Required">
      <formula>NOT(ISERROR(SEARCH("Existing Value Not Required",AN256)))</formula>
    </cfRule>
    <cfRule type="containsText" dxfId="444" priority="41"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7"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8"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9"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D1" sqref="D1"/>
    </sheetView>
  </sheetViews>
  <sheetFormatPr defaultColWidth="8.77734375" defaultRowHeight="13.8" zeroHeight="1" x14ac:dyDescent="0.25"/>
  <cols>
    <col min="1" max="1" width="17.77734375" style="30" hidden="1" customWidth="1"/>
    <col min="2" max="2" width="14.77734375" style="30" hidden="1" customWidth="1"/>
    <col min="3" max="3" width="20.5546875" style="30" hidden="1" customWidth="1"/>
    <col min="4" max="4" width="10.44140625" style="30" customWidth="1"/>
    <col min="5" max="5" width="22.21875" style="30" customWidth="1"/>
    <col min="6" max="6" width="70.21875" style="30" customWidth="1"/>
    <col min="7" max="7" width="19.77734375" style="30" hidden="1" customWidth="1"/>
    <col min="8" max="8" width="19.5546875" style="33" customWidth="1"/>
    <col min="9" max="9" width="17.77734375" style="30" customWidth="1"/>
    <col min="10" max="10" width="8.77734375" style="30" customWidth="1"/>
    <col min="11" max="11" width="14.21875" style="33" customWidth="1"/>
    <col min="12" max="12" width="9.5546875" style="30" customWidth="1"/>
    <col min="13" max="13" width="41.77734375" style="30" customWidth="1"/>
    <col min="14" max="14" width="12.77734375" style="30" customWidth="1"/>
    <col min="15" max="15" width="14.77734375" style="33" customWidth="1"/>
    <col min="16" max="16" width="32.77734375" style="33" customWidth="1"/>
    <col min="17" max="17" width="8.77734375" style="30" hidden="1" customWidth="1"/>
    <col min="18" max="18" width="82.77734375" style="33" customWidth="1"/>
    <col min="19" max="19" width="7.77734375" style="30" hidden="1" customWidth="1"/>
    <col min="20" max="20" width="17.21875" style="33" customWidth="1"/>
    <col min="21" max="21" width="3.77734375" style="30" customWidth="1"/>
    <col min="22" max="22" width="11.5546875" style="33" customWidth="1"/>
    <col min="23" max="23" width="12.21875" style="33" customWidth="1"/>
    <col min="24" max="24" width="10.21875" style="33" customWidth="1"/>
    <col min="25" max="25" width="13" style="33" customWidth="1"/>
    <col min="26" max="26" width="13.21875" style="33" customWidth="1"/>
    <col min="27" max="27" width="15.5546875" style="33" customWidth="1"/>
    <col min="28" max="28" width="16.77734375" style="30" customWidth="1"/>
    <col min="29" max="30" width="50.21875" style="30" customWidth="1"/>
    <col min="31" max="31" width="14.21875" style="30" customWidth="1"/>
    <col min="32" max="32" width="17.21875" style="30" customWidth="1"/>
    <col min="33" max="33" width="11.21875" style="11" hidden="1" customWidth="1"/>
    <col min="34" max="34" width="8.77734375" style="11" hidden="1" customWidth="1"/>
    <col min="35" max="50" width="8.77734375" style="30" hidden="1" customWidth="1"/>
    <col min="51" max="51" width="10.21875" style="33" hidden="1" customWidth="1"/>
    <col min="52" max="55" width="8.77734375" style="30" hidden="1" customWidth="1"/>
    <col min="56" max="63" width="8.77734375" style="30" customWidth="1"/>
    <col min="64" max="64" width="13.44140625" style="30" customWidth="1"/>
    <col min="65" max="65" width="8.77734375" style="30" customWidth="1"/>
    <col min="66" max="16380" width="8.77734375" style="30"/>
    <col min="16381" max="16383" width="8.77734375" style="542"/>
    <col min="16384" max="16384" width="2.77734375" style="542" customWidth="1"/>
  </cols>
  <sheetData>
    <row r="1" spans="1:51 16381:16384" ht="12.75" customHeight="1" thickBot="1" x14ac:dyDescent="0.3"/>
    <row r="2" spans="1:51 16381:16384" ht="19.5" customHeight="1" thickBot="1" x14ac:dyDescent="0.35">
      <c r="D2" s="1519" t="str">
        <f>CONCATENATE("Project Name:", " ", Start!F12, "     ", "Map Reference:", " ", Start!F66)</f>
        <v xml:space="preserve">Project Name: Broadfield Park Slopes (‘The Slopes’), The Esplanade, Rochdale, OL16 1AQ     Map Reference: </v>
      </c>
      <c r="E2" s="1520"/>
      <c r="F2" s="1521"/>
      <c r="I2" s="1404" t="s">
        <v>262</v>
      </c>
      <c r="J2" s="1405"/>
      <c r="K2" s="1405"/>
      <c r="L2" s="1405"/>
      <c r="M2" s="1406"/>
      <c r="O2" s="1518" t="str" cm="1">
        <f t="array" ref="O2">IF(OR(K11:K258 = "Fairly Good", K11:K258 = "Fairly Poor"),"A 'Fairly' Category has been used - check evidence to ensure this is appropriate ⚠", "")</f>
        <v/>
      </c>
      <c r="P2" s="1518"/>
      <c r="Q2" s="1518"/>
      <c r="R2" s="1518"/>
      <c r="S2" s="1518"/>
      <c r="T2" s="1518"/>
      <c r="U2" s="1518"/>
      <c r="V2" s="1518"/>
      <c r="W2" s="1518"/>
      <c r="X2" s="1518"/>
      <c r="Y2" s="1518"/>
      <c r="AY2" s="30"/>
    </row>
    <row r="3" spans="1:51 16381:16384" ht="15" customHeight="1" x14ac:dyDescent="0.25">
      <c r="D3" s="1512" t="str">
        <f ca="1">MID(CELL("filename",C1),FIND("]",CELL("filename",C1))+1,256)</f>
        <v>D-1 Off-Site Habitat Baseline</v>
      </c>
      <c r="E3" s="1513"/>
      <c r="F3" s="1514"/>
      <c r="I3" s="1494" t="s">
        <v>263</v>
      </c>
      <c r="J3" s="1496"/>
      <c r="K3" s="1496"/>
      <c r="L3" s="1522"/>
      <c r="M3" s="512">
        <f>'Headline Results'!H47</f>
        <v>-4.3556251813435223</v>
      </c>
      <c r="O3" s="1518"/>
      <c r="P3" s="1518"/>
      <c r="Q3" s="1518"/>
      <c r="R3" s="1518"/>
      <c r="S3" s="1518"/>
      <c r="T3" s="1518"/>
      <c r="U3" s="1518"/>
      <c r="V3" s="1518"/>
      <c r="W3" s="1518"/>
      <c r="X3" s="1518"/>
      <c r="Y3" s="1518"/>
      <c r="AY3" s="30"/>
    </row>
    <row r="4" spans="1:51 16381:16384" ht="19.95" customHeight="1" thickBot="1" x14ac:dyDescent="0.3">
      <c r="D4" s="1515"/>
      <c r="E4" s="1516"/>
      <c r="F4" s="1517"/>
      <c r="I4" s="1523" t="s">
        <v>265</v>
      </c>
      <c r="J4" s="1524"/>
      <c r="K4" s="1524"/>
      <c r="L4" s="1525"/>
      <c r="M4" s="513">
        <f>'Headline Results'!H51</f>
        <v>-0.50089298888919165</v>
      </c>
      <c r="O4" s="1518"/>
      <c r="P4" s="1518"/>
      <c r="Q4" s="1518"/>
      <c r="R4" s="1518"/>
      <c r="S4" s="1518"/>
      <c r="T4" s="1518"/>
      <c r="U4" s="1518"/>
      <c r="V4" s="1518"/>
      <c r="W4" s="1518"/>
      <c r="X4" s="1518"/>
      <c r="Y4" s="1518"/>
      <c r="AY4" s="30"/>
    </row>
    <row r="5" spans="1:51 16381:16384" ht="24" customHeight="1" thickBot="1" x14ac:dyDescent="0.3">
      <c r="I5" s="1526" t="s">
        <v>267</v>
      </c>
      <c r="J5" s="1527"/>
      <c r="K5" s="1527"/>
      <c r="L5" s="1528"/>
      <c r="M5" s="504" t="str" cm="1">
        <f t="array" ref="M5">IF(OR('Trading Summary Area Habitats'!G5:G8="No ▲"), "No - check trading summaries ▲", "Yes ✓")</f>
        <v>No - check trading summaries ▲</v>
      </c>
      <c r="O5" s="1518"/>
      <c r="P5" s="1518"/>
      <c r="Q5" s="1518"/>
      <c r="R5" s="1518"/>
      <c r="S5" s="1518"/>
      <c r="T5" s="1518"/>
      <c r="U5" s="1518"/>
      <c r="V5" s="1518"/>
      <c r="W5" s="1518"/>
      <c r="X5" s="1518"/>
      <c r="Y5" s="1518"/>
      <c r="AY5" s="30"/>
    </row>
    <row r="6" spans="1:51 16381:16384" ht="15.75" customHeight="1" x14ac:dyDescent="0.25">
      <c r="I6" s="1529" t="str" cm="1">
        <f t="array" ref="I6">IF(OR(E11:E258="watercourse footprint"),"Please ensure the watercourse details for any watercourse footprints recorded are included in the watercourse tabs ⚠", "")</f>
        <v/>
      </c>
      <c r="J6" s="1529"/>
      <c r="K6" s="1529"/>
      <c r="L6" s="1529"/>
      <c r="M6" s="1529"/>
    </row>
    <row r="7" spans="1:51 16381:16384" ht="16.2" customHeight="1" x14ac:dyDescent="0.25">
      <c r="D7" s="102"/>
      <c r="E7" s="102"/>
      <c r="F7" s="102"/>
      <c r="I7" s="1530"/>
      <c r="J7" s="1530"/>
      <c r="K7" s="1530"/>
      <c r="L7" s="1530"/>
      <c r="M7" s="1530"/>
    </row>
    <row r="8" spans="1:51 16381:16384" ht="22.95" customHeight="1" thickBot="1" x14ac:dyDescent="0.3">
      <c r="D8" s="102"/>
      <c r="E8" s="102"/>
      <c r="F8" s="102"/>
      <c r="I8" s="1531"/>
      <c r="J8" s="1531"/>
      <c r="K8" s="1531"/>
      <c r="L8" s="1531"/>
      <c r="M8" s="1531"/>
    </row>
    <row r="9" spans="1:51 16381:16384" s="30" customFormat="1" ht="30" customHeight="1" thickBot="1" x14ac:dyDescent="0.3">
      <c r="D9" s="200"/>
      <c r="E9" s="1534" t="s">
        <v>268</v>
      </c>
      <c r="F9" s="1534"/>
      <c r="G9" s="1534"/>
      <c r="H9" s="1534"/>
      <c r="I9" s="1534" t="s">
        <v>269</v>
      </c>
      <c r="J9" s="1534"/>
      <c r="K9" s="1534" t="s">
        <v>357</v>
      </c>
      <c r="L9" s="1534"/>
      <c r="M9" s="1534" t="s">
        <v>271</v>
      </c>
      <c r="N9" s="1534"/>
      <c r="O9" s="1534"/>
      <c r="P9" s="1534" t="s">
        <v>272</v>
      </c>
      <c r="Q9" s="720" t="s">
        <v>273</v>
      </c>
      <c r="R9" s="1535" t="s">
        <v>358</v>
      </c>
      <c r="S9" s="1536"/>
      <c r="T9" s="719" t="s">
        <v>273</v>
      </c>
      <c r="U9" s="107"/>
      <c r="V9" s="1534" t="s">
        <v>274</v>
      </c>
      <c r="W9" s="1534"/>
      <c r="X9" s="1534"/>
      <c r="Y9" s="1534"/>
      <c r="Z9" s="1534"/>
      <c r="AA9" s="1534"/>
      <c r="AB9" s="1534" t="s">
        <v>275</v>
      </c>
      <c r="AC9" s="1532" t="s">
        <v>276</v>
      </c>
      <c r="AD9" s="1533"/>
      <c r="AG9" s="11" t="s">
        <v>266</v>
      </c>
      <c r="AH9" s="11" t="s">
        <v>266</v>
      </c>
      <c r="AJ9" s="124" t="s">
        <v>277</v>
      </c>
      <c r="AK9" s="124"/>
      <c r="AL9" s="124"/>
      <c r="AM9" s="124"/>
      <c r="AN9" s="124"/>
      <c r="AO9" s="124" t="s">
        <v>278</v>
      </c>
      <c r="AP9" s="124"/>
      <c r="AQ9" s="124"/>
      <c r="AR9" s="124"/>
      <c r="XFA9" s="542"/>
      <c r="XFB9" s="542"/>
      <c r="XFC9" s="542"/>
      <c r="XFD9" s="542"/>
    </row>
    <row r="10" spans="1:51 16381:16384" ht="57" customHeight="1" thickBot="1" x14ac:dyDescent="0.3">
      <c r="B10" s="101" t="s">
        <v>280</v>
      </c>
      <c r="D10" s="890" t="s">
        <v>339</v>
      </c>
      <c r="E10" s="720" t="s">
        <v>359</v>
      </c>
      <c r="F10" s="893" t="s">
        <v>33</v>
      </c>
      <c r="G10" s="833" t="s">
        <v>284</v>
      </c>
      <c r="H10" s="144" t="s">
        <v>285</v>
      </c>
      <c r="I10" s="834" t="s">
        <v>269</v>
      </c>
      <c r="J10" s="835" t="s">
        <v>286</v>
      </c>
      <c r="K10" s="140" t="s">
        <v>270</v>
      </c>
      <c r="L10" s="835" t="s">
        <v>286</v>
      </c>
      <c r="M10" s="834" t="s">
        <v>271</v>
      </c>
      <c r="N10" s="145" t="s">
        <v>271</v>
      </c>
      <c r="O10" s="144" t="s">
        <v>317</v>
      </c>
      <c r="P10" s="1537"/>
      <c r="Q10" s="747" t="s">
        <v>360</v>
      </c>
      <c r="R10" s="577" t="s">
        <v>361</v>
      </c>
      <c r="S10" s="821" t="s">
        <v>358</v>
      </c>
      <c r="T10" s="749" t="s">
        <v>288</v>
      </c>
      <c r="U10" s="107"/>
      <c r="V10" s="140" t="s">
        <v>289</v>
      </c>
      <c r="W10" s="145" t="s">
        <v>290</v>
      </c>
      <c r="X10" s="145" t="s">
        <v>291</v>
      </c>
      <c r="Y10" s="145" t="s">
        <v>292</v>
      </c>
      <c r="Z10" s="145" t="s">
        <v>362</v>
      </c>
      <c r="AA10" s="144" t="s">
        <v>294</v>
      </c>
      <c r="AB10" s="1537"/>
      <c r="AC10" s="140" t="s">
        <v>295</v>
      </c>
      <c r="AD10" s="145" t="s">
        <v>296</v>
      </c>
      <c r="AE10" s="43" t="s">
        <v>297</v>
      </c>
      <c r="AF10" s="42" t="s">
        <v>363</v>
      </c>
      <c r="AG10" s="743" t="s">
        <v>298</v>
      </c>
      <c r="AH10" s="743" t="s">
        <v>364</v>
      </c>
      <c r="AJ10" s="124" t="s">
        <v>300</v>
      </c>
      <c r="AK10" s="124" t="s">
        <v>301</v>
      </c>
      <c r="AL10" s="124" t="s">
        <v>302</v>
      </c>
      <c r="AM10" s="124" t="s">
        <v>303</v>
      </c>
      <c r="AN10" s="124"/>
      <c r="AO10" s="124" t="s">
        <v>300</v>
      </c>
      <c r="AP10" s="124" t="s">
        <v>301</v>
      </c>
      <c r="AQ10" s="124" t="s">
        <v>302</v>
      </c>
      <c r="AR10" s="124"/>
      <c r="AU10" s="30" t="s">
        <v>279</v>
      </c>
      <c r="AY10" s="145" t="s">
        <v>1673</v>
      </c>
    </row>
    <row r="11" spans="1:51 16381:16384" x14ac:dyDescent="0.25">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x14ac:dyDescent="0.25">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25">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25">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25">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25">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25">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25">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25">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25">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25">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25">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25">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25">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25">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25">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25">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25">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25">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25">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25">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25">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25">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25">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25">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25">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25">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25">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25">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25">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25">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25">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25">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25">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25">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25">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25">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25">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25">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25">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25">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25">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25">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25">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25">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25">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25">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25">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25">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25">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25">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25">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25">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25">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25">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25">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25">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25">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25">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25">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25">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25">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25">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25">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25">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25">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25">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25">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25">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25">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25">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25">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25">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25">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25">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25">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25">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25">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25">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25">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25">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25">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25">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25">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25">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25">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25">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25">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25">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25">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25">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25">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25">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25">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25">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25">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25">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25">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25">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25">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25">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25">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25">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25">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25">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25">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25">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25">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25">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25">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25">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25">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25">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25">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25">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25">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25">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25">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25">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25">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25">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25">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25">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25">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25">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25">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25">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25">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25">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25">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25">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25">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25">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25">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25">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25">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25">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25">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25">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25">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25">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25">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25">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25">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25">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25">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25">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25">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25">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25">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25">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25">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25">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25">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25">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25">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25">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25">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25">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25">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25">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25">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25">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25">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25">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25">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25">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25">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25">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25">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25">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25">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25">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25">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25">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25">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25">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25">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25">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25">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25">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25">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25">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25">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25">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25">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25">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25">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25">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25">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25">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25">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25">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25">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25">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25">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25">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25">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25">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25">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25">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25">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25">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25">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25">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25">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25">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25">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25">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25">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25">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25">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25">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25">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25">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25">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25">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25">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25">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25">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25">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25">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25">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25">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25">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25">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25">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25">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25">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25">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25">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25">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25">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25">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25">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25">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25">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25">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25">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25">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25">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25">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25">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25">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25">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25">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25">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 thickBot="1" x14ac:dyDescent="0.3">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 thickBot="1" x14ac:dyDescent="0.3">
      <c r="F259" s="822" t="s">
        <v>329</v>
      </c>
      <c r="G259" s="739" t="s">
        <v>365</v>
      </c>
      <c r="H259" s="414">
        <f>IF('Detailed Results'!K40&gt;0,"Error ▲", SUM(H11:H258))</f>
        <v>0</v>
      </c>
      <c r="N259" s="102"/>
      <c r="P259" s="132" t="s">
        <v>366</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 thickBot="1" x14ac:dyDescent="0.3">
      <c r="U260" s="133"/>
      <c r="V260" s="133"/>
      <c r="W260" s="133"/>
      <c r="X260" s="133"/>
      <c r="Y260" s="133"/>
      <c r="Z260" s="133"/>
      <c r="AA260" s="133"/>
      <c r="AY260" s="133"/>
    </row>
    <row r="261" spans="1:51" ht="28.5" customHeight="1" thickBot="1" x14ac:dyDescent="0.3">
      <c r="D261" s="102"/>
      <c r="E261" s="102"/>
      <c r="F261" s="511" t="s">
        <v>305</v>
      </c>
      <c r="H261" s="381">
        <f>IF('Detailed Results'!$K$40&gt;0,"Error",SUMIFS($H$11:$H$256,$G$11:$G$256,"&lt;&gt;"&amp;'G-1 All Habitats'!B80,$G$11:$G$256,"&lt;&gt;"&amp;'G-1 All Habitats'!B81,$G$11:$G$256,"&lt;&gt;"&amp;'G-1 All Habitats'!B67,$G$11:$G$256,"&lt;&gt;"&amp;'G-1 All Habitats'!B68))</f>
        <v>0</v>
      </c>
      <c r="V261" s="1424" t="s">
        <v>367</v>
      </c>
      <c r="W261" s="1425"/>
      <c r="X261" s="1425"/>
      <c r="Y261" s="1426"/>
      <c r="Z261" s="366">
        <f>IF('Detailed Results'!$K$40&gt;0,"Error",SUMIFS($Z$11:$Z$258,$G$11:$G$258,"&lt;&gt;"&amp;'G-1 All Habitats'!B67,$G$11:$G$258,"&lt;&gt;"&amp;'G-1 All Habitats'!B68,$G$11:$G$258,"&lt;&gt;"&amp;'G-1 All Habitats'!B80, $G$11:$G$258,"&lt;&gt;"&amp;'G-1 All Habitats'!B81))</f>
        <v>0</v>
      </c>
      <c r="AY261" s="30"/>
    </row>
    <row r="262" spans="1:51" ht="14.4" thickBot="1" x14ac:dyDescent="0.3">
      <c r="D262" s="102"/>
      <c r="E262" s="102"/>
      <c r="F262" s="102"/>
    </row>
    <row r="263" spans="1:51" x14ac:dyDescent="0.25">
      <c r="D263" s="102"/>
      <c r="E263" s="102"/>
      <c r="F263" s="1465" t="s">
        <v>307</v>
      </c>
      <c r="G263" s="36"/>
      <c r="H263" s="730" t="s">
        <v>308</v>
      </c>
      <c r="I263" s="551" t="s">
        <v>309</v>
      </c>
      <c r="J263" s="1419" t="s">
        <v>310</v>
      </c>
      <c r="K263" s="1420"/>
    </row>
    <row r="264" spans="1:51" ht="14.4" thickBot="1" x14ac:dyDescent="0.3">
      <c r="D264" s="102"/>
      <c r="E264" s="102"/>
      <c r="F264" s="1466"/>
      <c r="G264" s="36"/>
      <c r="H264" s="736"/>
      <c r="I264" s="552" t="str">
        <f>IF(H263="Hectares",H264,IF(H263="M²",H264/10000,""))</f>
        <v/>
      </c>
      <c r="J264" s="1421" t="str">
        <f>IF(H263="M²",H264,IF(H263="Hectares",H264*10000,""))</f>
        <v/>
      </c>
      <c r="K264" s="1422"/>
    </row>
    <row r="265" spans="1:51" x14ac:dyDescent="0.25">
      <c r="D265" s="102"/>
      <c r="E265" s="102"/>
      <c r="F265" s="102"/>
    </row>
    <row r="266" spans="1:51" x14ac:dyDescent="0.25">
      <c r="D266" s="102"/>
      <c r="E266" s="102"/>
      <c r="F266" s="102"/>
    </row>
    <row r="267" spans="1:51" x14ac:dyDescent="0.25">
      <c r="D267" s="102"/>
      <c r="E267" s="102"/>
      <c r="F267" s="102"/>
    </row>
    <row r="268" spans="1:51" x14ac:dyDescent="0.25">
      <c r="D268" s="102"/>
      <c r="E268" s="102"/>
      <c r="F268" s="102"/>
    </row>
    <row r="269" spans="1:51" x14ac:dyDescent="0.25">
      <c r="D269" s="102"/>
      <c r="E269" s="102"/>
      <c r="F269" s="102"/>
    </row>
    <row r="270" spans="1:51" x14ac:dyDescent="0.25">
      <c r="D270" s="102"/>
      <c r="E270" s="102"/>
      <c r="F270" s="102"/>
    </row>
    <row r="271" spans="1:51" x14ac:dyDescent="0.25">
      <c r="D271" s="102"/>
      <c r="E271" s="102"/>
      <c r="F271" s="102"/>
    </row>
  </sheetData>
  <sheetProtection algorithmName="SHA-512" hashValue="PKQUw3LEIhQWiZxQu5dQvalHzmEHYXWBdwSlmcKpewN4GHVLu5ZtwZhqAUusUMWGiqJOFXnJPpgbVyYN2prC1Q==" saltValue="7AFQ+TVoebDTcpl+3czldw=="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 ref="D3:F4"/>
    <mergeCell ref="O2:Y5"/>
    <mergeCell ref="D2:F2"/>
    <mergeCell ref="I2:M2"/>
    <mergeCell ref="I3:L3"/>
    <mergeCell ref="I4:L4"/>
    <mergeCell ref="I5:L5"/>
  </mergeCells>
  <conditionalFormatting sqref="H259">
    <cfRule type="cellIs" dxfId="443" priority="48" operator="equal">
      <formula>"Error ▲"</formula>
    </cfRule>
  </conditionalFormatting>
  <conditionalFormatting sqref="I6:M8">
    <cfRule type="containsText" dxfId="442" priority="9" operator="containsText" text="⚠">
      <formula>NOT(ISERROR(SEARCH("⚠",I6)))</formula>
    </cfRule>
  </conditionalFormatting>
  <conditionalFormatting sqref="L11:L258">
    <cfRule type="containsText" dxfId="441" priority="127" operator="containsText" text="Not Possible">
      <formula>NOT(ISERROR(SEARCH("Not Possible",L11)))</formula>
    </cfRule>
  </conditionalFormatting>
  <conditionalFormatting sqref="M3">
    <cfRule type="containsText" dxfId="440" priority="40" operator="containsText" text="Error">
      <formula>NOT(ISERROR(SEARCH("Error",M3)))</formula>
    </cfRule>
    <cfRule type="containsText" dxfId="439" priority="41" operator="containsText" text="Check">
      <formula>NOT(ISERROR(SEARCH("Check",M3)))</formula>
    </cfRule>
  </conditionalFormatting>
  <conditionalFormatting sqref="M3:M5">
    <cfRule type="containsText" dxfId="438" priority="1" operator="containsText" text="N/A">
      <formula>NOT(ISERROR(SEARCH("N/A",M3)))</formula>
    </cfRule>
  </conditionalFormatting>
  <conditionalFormatting sqref="M4">
    <cfRule type="cellIs" dxfId="437" priority="8" operator="lessThan">
      <formula>0</formula>
    </cfRule>
    <cfRule type="containsText" dxfId="434" priority="5" operator="containsText" text="Error">
      <formula>NOT(ISERROR(SEARCH("Error",M4)))</formula>
    </cfRule>
    <cfRule type="containsText" dxfId="433" priority="6" operator="containsText" text="Check">
      <formula>NOT(ISERROR(SEARCH("Check",M4)))</formula>
    </cfRule>
    <cfRule type="cellIs" dxfId="432" priority="7" operator="equal">
      <formula>0</formula>
    </cfRule>
  </conditionalFormatting>
  <conditionalFormatting sqref="M5">
    <cfRule type="containsText" dxfId="431" priority="44" operator="containsText" text="No">
      <formula>NOT(ISERROR(SEARCH("No",M5)))</formula>
    </cfRule>
    <cfRule type="containsText" dxfId="430" priority="45" operator="containsText" text="Yes">
      <formula>NOT(ISERROR(SEARCH("Yes",M5)))</formula>
    </cfRule>
  </conditionalFormatting>
  <conditionalFormatting sqref="N11:O258">
    <cfRule type="containsText" dxfId="429" priority="79" operator="containsText" text="Spatial">
      <formula>NOT(ISERROR(SEARCH("Spatial",N11)))</formula>
    </cfRule>
  </conditionalFormatting>
  <conditionalFormatting sqref="O2:Y5">
    <cfRule type="containsText" dxfId="428" priority="39" operator="containsText" text="Check">
      <formula>NOT(ISERROR(SEARCH("Check",O2)))</formula>
    </cfRule>
  </conditionalFormatting>
  <conditionalFormatting sqref="Q11:Q258">
    <cfRule type="cellIs" dxfId="423" priority="71" operator="equal">
      <formula>"Any loss Unacceptable ⚠"</formula>
    </cfRule>
    <cfRule type="cellIs" dxfId="422" priority="67" operator="equal">
      <formula>"Check Data ⚠"</formula>
    </cfRule>
    <cfRule type="cellIs" dxfId="421" priority="68" operator="equal">
      <formula>"Any loss Unacceptable ⚠"</formula>
    </cfRule>
    <cfRule type="expression" dxfId="420" priority="70">
      <formula>"p18=""Avoid"""</formula>
    </cfRule>
    <cfRule type="expression" dxfId="419" priority="73">
      <formula>"p18=""Avoid"""</formula>
    </cfRule>
  </conditionalFormatting>
  <conditionalFormatting sqref="Q259">
    <cfRule type="cellIs" dxfId="418" priority="47" operator="equal">
      <formula>"Error ▲"</formula>
    </cfRule>
  </conditionalFormatting>
  <conditionalFormatting sqref="R11:R258">
    <cfRule type="containsText" dxfId="417" priority="37" operator="containsText" text="Existing Value Not Required">
      <formula>NOT(ISERROR(SEARCH("Existing Value Not Required",R11)))</formula>
    </cfRule>
    <cfRule type="containsText" dxfId="416" priority="38" operator="containsText" text="Existing Value Required">
      <formula>NOT(ISERROR(SEARCH("Existing Value Required",R11)))</formula>
    </cfRule>
  </conditionalFormatting>
  <conditionalFormatting sqref="R11:S11 S12:S256 R12:R258">
    <cfRule type="containsText" dxfId="415" priority="33" operator="containsText" text="Check">
      <formula>NOT(ISERROR(SEARCH("Check",R11)))</formula>
    </cfRule>
    <cfRule type="containsText" dxfId="414" priority="34" operator="containsText" text="Error">
      <formula>NOT(ISERROR(SEARCH("Error",R11)))</formula>
    </cfRule>
  </conditionalFormatting>
  <conditionalFormatting sqref="S11:S258">
    <cfRule type="containsText" dxfId="413" priority="10" operator="containsText" text="Spatial">
      <formula>NOT(ISERROR(SEARCH("Spatial",S11)))</formula>
    </cfRule>
  </conditionalFormatting>
  <conditionalFormatting sqref="S257:S258">
    <cfRule type="containsText" dxfId="412" priority="11" operator="containsText" text="Check">
      <formula>NOT(ISERROR(SEARCH("Check",S257)))</formula>
    </cfRule>
    <cfRule type="containsText" dxfId="411" priority="12" operator="containsText" text="Error">
      <formula>NOT(ISERROR(SEARCH("Error",S257)))</formula>
    </cfRule>
  </conditionalFormatting>
  <conditionalFormatting sqref="S259:T259">
    <cfRule type="cellIs" dxfId="410" priority="24" operator="equal">
      <formula>"Error ▲"</formula>
    </cfRule>
  </conditionalFormatting>
  <conditionalFormatting sqref="T11:T258">
    <cfRule type="cellIs" dxfId="409" priority="25" operator="equal">
      <formula>"Check Data ⚠"</formula>
    </cfRule>
    <cfRule type="cellIs" dxfId="408" priority="26" operator="equal">
      <formula>"Any loss Unacceptable ⚠"</formula>
    </cfRule>
    <cfRule type="expression" dxfId="407" priority="28">
      <formula>"p18=""Avoid"""</formula>
    </cfRule>
    <cfRule type="cellIs" dxfId="406" priority="29" operator="equal">
      <formula>"Any loss Unacceptable ⚠"</formula>
    </cfRule>
    <cfRule type="expression" dxfId="405" priority="31">
      <formula>"p18=""Avoid"""</formula>
    </cfRule>
  </conditionalFormatting>
  <conditionalFormatting sqref="V259:AA259">
    <cfRule type="cellIs" dxfId="404" priority="46" operator="equal">
      <formula>"Error ▲"</formula>
    </cfRule>
  </conditionalFormatting>
  <conditionalFormatting sqref="Z11:Z258">
    <cfRule type="cellIs" dxfId="403" priority="66" operator="equal">
      <formula>"Error in Areas ▲"</formula>
    </cfRule>
    <cfRule type="cellIs" dxfId="402" priority="74" operator="equal">
      <formula>"Unacceptable Loss ⚠"</formula>
    </cfRule>
  </conditionalFormatting>
  <conditionalFormatting sqref="AA11:AA258">
    <cfRule type="cellIs" dxfId="401" priority="63" operator="equal">
      <formula>"Alternative Compensation ✓"</formula>
    </cfRule>
    <cfRule type="cellIs" dxfId="400" priority="64" operator="equal">
      <formula>"Error in Areas ▲"</formula>
    </cfRule>
    <cfRule type="containsText" dxfId="399" priority="65" operator="containsText" text="Unacceptable">
      <formula>NOT(ISERROR(SEARCH("Unacceptable",AA11)))</formula>
    </cfRule>
    <cfRule type="containsText" dxfId="398" priority="4" operator="containsText" text="⚠">
      <formula>NOT(ISERROR(SEARCH("⚠",AA11)))</formula>
    </cfRule>
  </conditionalFormatting>
  <conditionalFormatting sqref="AB11:AB258">
    <cfRule type="cellIs" dxfId="397" priority="75" operator="equal">
      <formula>"No"</formula>
    </cfRule>
    <cfRule type="cellIs" dxfId="396" priority="76" operator="equal">
      <formula>"Yes"</formula>
    </cfRule>
  </conditionalFormatting>
  <conditionalFormatting sqref="AY2:AY5">
    <cfRule type="containsText" dxfId="395" priority="2" operator="containsText" text="Check">
      <formula>NOT(ISERROR(SEARCH("Check",AY2)))</formula>
    </cfRule>
  </conditionalFormatting>
  <conditionalFormatting sqref="AY259">
    <cfRule type="cellIs" dxfId="394" priority="3"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greaterThanOrEqual" id="{52458767-4C45-4444-8724-A3DADAF3158C}">
            <xm:f>Start!$F$22</xm:f>
            <x14:dxf>
              <font>
                <color rgb="FF383745"/>
              </font>
              <fill>
                <patternFill>
                  <bgColor rgb="FF92D050"/>
                </patternFill>
              </fill>
            </x14:dxf>
          </x14:cfRule>
          <x14:cfRule type="cellIs" priority="430"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29" operator="equal" id="{4F50D605-E638-4A00-95DA-25AAC11AC10A}">
            <xm:f>'G-1 All Habitats'!$X$6</xm:f>
            <x14:dxf>
              <font>
                <color rgb="FF383745"/>
              </font>
              <fill>
                <patternFill>
                  <bgColor theme="8" tint="0.59996337778862885"/>
                </patternFill>
              </fill>
            </x14:dxf>
          </x14:cfRule>
          <x14:cfRule type="cellIs" priority="176" operator="equal" id="{94CF483F-3A53-4751-BC79-DEF0528327DD}">
            <xm:f>'G-1 All Habitats'!$X$5</xm:f>
            <x14:dxf>
              <font>
                <color rgb="FF383745"/>
              </font>
              <fill>
                <patternFill>
                  <bgColor theme="8" tint="-0.24994659260841701"/>
                </patternFill>
              </fill>
            </x14:dxf>
          </x14:cfRule>
          <x14:cfRule type="cellIs" priority="177" operator="equal" id="{B81E5FD8-88ED-479F-9E97-AEE295FEDC63}">
            <xm:f>'G-1 All Habitats'!$X$4</xm:f>
            <x14:dxf>
              <font>
                <color rgb="FF383745"/>
              </font>
              <fill>
                <patternFill>
                  <bgColor theme="6"/>
                </patternFill>
              </fill>
            </x14:dxf>
          </x14:cfRule>
          <x14:cfRule type="cellIs" priority="178"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L3" sqref="L3:L6"/>
    </sheetView>
  </sheetViews>
  <sheetFormatPr defaultColWidth="8.77734375" defaultRowHeight="0" customHeight="1" zeroHeight="1" x14ac:dyDescent="0.25"/>
  <cols>
    <col min="1" max="1" width="8.77734375" style="30" hidden="1" customWidth="1"/>
    <col min="2" max="2" width="10.44140625" style="30" hidden="1" customWidth="1"/>
    <col min="3" max="3" width="19.77734375" style="30" hidden="1" customWidth="1"/>
    <col min="4" max="4" width="22.5546875" style="30" bestFit="1" customWidth="1"/>
    <col min="5" max="5" width="71" style="30" customWidth="1"/>
    <col min="6" max="6" width="12.44140625" style="30" hidden="1" customWidth="1"/>
    <col min="7" max="7" width="18.5546875" style="30" customWidth="1"/>
    <col min="8" max="8" width="18" style="30" customWidth="1"/>
    <col min="9" max="9" width="13.21875" style="30" customWidth="1"/>
    <col min="10" max="11" width="12.5546875" style="30" customWidth="1"/>
    <col min="12" max="12" width="40.77734375" style="30" customWidth="1"/>
    <col min="13" max="13" width="6.77734375" style="30" hidden="1" customWidth="1"/>
    <col min="14" max="14" width="12.21875" style="30" customWidth="1"/>
    <col min="15" max="15" width="19.5546875" style="30" customWidth="1"/>
    <col min="16" max="17" width="17.77734375" style="30" customWidth="1"/>
    <col min="18" max="18" width="31.21875" style="30" customWidth="1"/>
    <col min="19" max="19" width="21.21875" style="30" customWidth="1"/>
    <col min="20" max="20" width="15.21875" style="30" customWidth="1"/>
    <col min="21" max="21" width="13.77734375" style="30" customWidth="1"/>
    <col min="22" max="22" width="35.21875" style="30" customWidth="1"/>
    <col min="23" max="23" width="13.77734375" style="30" customWidth="1"/>
    <col min="24" max="24" width="14.21875" style="30" customWidth="1"/>
    <col min="25" max="25" width="91.44140625" style="30" customWidth="1"/>
    <col min="26" max="26" width="11.44140625" style="30" hidden="1" customWidth="1"/>
    <col min="27" max="27" width="16.77734375" style="30" hidden="1" customWidth="1"/>
    <col min="28" max="28" width="12.77734375" style="30" customWidth="1"/>
    <col min="29" max="30" width="34.77734375" style="30" customWidth="1"/>
    <col min="31" max="31" width="14.21875" style="30" customWidth="1"/>
    <col min="32" max="32" width="16.77734375" style="30" customWidth="1"/>
    <col min="33" max="33" width="11.21875" style="30" customWidth="1"/>
    <col min="34" max="34" width="14.5546875" style="30" hidden="1" customWidth="1"/>
    <col min="35" max="36" width="8.77734375" style="30" hidden="1" customWidth="1"/>
    <col min="37" max="39" width="0" style="30" hidden="1" customWidth="1"/>
    <col min="40" max="42" width="8.77734375" style="30"/>
    <col min="43" max="43" width="8.77734375" style="30" customWidth="1"/>
    <col min="44" max="16384" width="8.77734375" style="30"/>
  </cols>
  <sheetData>
    <row r="1" spans="1:32" ht="14.4" thickBot="1" x14ac:dyDescent="0.3"/>
    <row r="2" spans="1:32" ht="25.95" customHeight="1" thickBot="1" x14ac:dyDescent="0.35">
      <c r="D2" s="1519" t="str">
        <f>CONCATENATE("Project Name:", " ", Start!F12, "     ", "Map Reference:", " ", Start!K66)</f>
        <v xml:space="preserve">Project Name: Broadfield Park Slopes (‘The Slopes’), The Esplanade, Rochdale, OL16 1AQ     Map Reference: </v>
      </c>
      <c r="E2" s="1520"/>
      <c r="G2" s="895">
        <v>0.01</v>
      </c>
      <c r="H2" s="1549" t="s">
        <v>262</v>
      </c>
      <c r="I2" s="1550"/>
      <c r="J2" s="1550"/>
      <c r="K2" s="1550"/>
      <c r="L2" s="1551"/>
      <c r="O2" s="1463" t="str">
        <f>IF(OR(COUNTIF($O$11:O256,"*30+*")&gt;0,COUNTIF($S$11:S256,"*30+*")&gt;0),"Note; Habitat selected has a time to target condition greater than 30 years. Non standard agreement may be required. ⚠","")</f>
        <v/>
      </c>
      <c r="P2" s="1463"/>
      <c r="Q2" s="1463"/>
      <c r="R2" s="1463"/>
      <c r="S2" s="1463"/>
      <c r="T2" s="1463"/>
      <c r="U2" s="1518" t="str" cm="1">
        <f t="array" ref="U2">IF(OR(J11:J256 = "Fairly Good", J11:J256 = "Fairly Poor"),"A 'Fairly' Category has been used - check evidence to ensure this is appropriate ⚠", "")</f>
        <v/>
      </c>
      <c r="V2" s="1518"/>
      <c r="W2" s="1518"/>
      <c r="X2" s="1518"/>
      <c r="Y2" s="1518"/>
    </row>
    <row r="3" spans="1:32" ht="19.95" customHeight="1" x14ac:dyDescent="0.25">
      <c r="D3" s="1512" t="str">
        <f ca="1">MID(CELL("filename",C1),FIND("]",CELL("filename",C1))+1,256)</f>
        <v>D-2 Off-Site Habitat Creation</v>
      </c>
      <c r="E3" s="1513"/>
      <c r="G3" s="197"/>
      <c r="H3" s="1494" t="s">
        <v>263</v>
      </c>
      <c r="I3" s="1496"/>
      <c r="J3" s="1496"/>
      <c r="K3" s="1522"/>
      <c r="L3" s="512">
        <f>'Headline Results'!H47</f>
        <v>-4.3556251813435223</v>
      </c>
      <c r="M3" s="35"/>
      <c r="N3" s="35"/>
      <c r="O3" s="1463"/>
      <c r="P3" s="1463"/>
      <c r="Q3" s="1463"/>
      <c r="R3" s="1463"/>
      <c r="S3" s="1463"/>
      <c r="T3" s="1463"/>
      <c r="U3" s="1518"/>
      <c r="V3" s="1518"/>
      <c r="W3" s="1518"/>
      <c r="X3" s="1518"/>
      <c r="Y3" s="1518"/>
    </row>
    <row r="4" spans="1:32" ht="15.75" customHeight="1" thickBot="1" x14ac:dyDescent="0.3">
      <c r="D4" s="1515"/>
      <c r="E4" s="1516"/>
      <c r="G4" s="197"/>
      <c r="H4" s="1523" t="s">
        <v>265</v>
      </c>
      <c r="I4" s="1524"/>
      <c r="J4" s="1524"/>
      <c r="K4" s="1525"/>
      <c r="L4" s="513">
        <f>'Headline Results'!H51</f>
        <v>-0.50089298888919165</v>
      </c>
      <c r="M4" s="41"/>
      <c r="N4" s="35"/>
      <c r="O4" s="310"/>
      <c r="P4" s="310"/>
      <c r="Q4" s="310"/>
      <c r="R4" s="310"/>
      <c r="S4" s="310"/>
      <c r="U4" s="1518"/>
      <c r="V4" s="1518"/>
      <c r="W4" s="1518"/>
      <c r="X4" s="1518"/>
      <c r="Y4" s="1518"/>
    </row>
    <row r="5" spans="1:32" ht="29.55" customHeight="1" x14ac:dyDescent="0.3">
      <c r="H5" s="1523" t="s">
        <v>267</v>
      </c>
      <c r="I5" s="1524"/>
      <c r="J5" s="1524"/>
      <c r="K5" s="1525"/>
      <c r="L5" s="514" t="str" cm="1">
        <f t="array" ref="L5">IF(OR('Trading Summary Area Habitats'!G5:G8="No ▲"), "No - check trading summaries ▲", "Yes ✓")</f>
        <v>No - check trading summaries ▲</v>
      </c>
      <c r="M5" s="199"/>
      <c r="N5" s="190"/>
      <c r="O5" s="1497"/>
      <c r="P5" s="1497"/>
      <c r="Q5" s="1497"/>
      <c r="R5" s="1497"/>
      <c r="S5" s="1497"/>
      <c r="T5" s="1497"/>
      <c r="U5" s="1518"/>
      <c r="V5" s="1518"/>
      <c r="W5" s="1518"/>
      <c r="X5" s="1518"/>
      <c r="Y5" s="1518"/>
    </row>
    <row r="6" spans="1:32" ht="44.1" customHeight="1" thickBot="1" x14ac:dyDescent="0.3">
      <c r="H6" s="1482" t="s">
        <v>1675</v>
      </c>
      <c r="I6" s="1483"/>
      <c r="J6" s="1483"/>
      <c r="K6" s="1484"/>
      <c r="L6" s="48" t="str">
        <f>IF(ABS('D-1 Off-Site Habitat Baseline'!Z261 - G259)&lt;=G2,  "Area Acceptable 🗸", "Error - Area created does not equal area lost ▲")</f>
        <v>Area Acceptable 🗸</v>
      </c>
      <c r="M6" s="509"/>
      <c r="N6" s="509"/>
      <c r="O6" s="1497"/>
      <c r="P6" s="1497"/>
      <c r="Q6" s="1497"/>
      <c r="R6" s="1497"/>
      <c r="S6" s="1497"/>
      <c r="T6" s="1497"/>
      <c r="U6" s="1553" t="str" cm="1">
        <f t="array" ref="U6">IF(OR(E11:E258="watercourse footprint"),"Please ensure the watercourse details for any watercourse footprints recorded are included in the watercourse tabs ⚠", "")</f>
        <v/>
      </c>
      <c r="V6" s="1553"/>
      <c r="W6" s="1553"/>
      <c r="X6" s="1553"/>
    </row>
    <row r="7" spans="1:32" ht="14.4" thickBot="1" x14ac:dyDescent="0.3"/>
    <row r="8" spans="1:32" ht="26.55" customHeight="1" thickBot="1" x14ac:dyDescent="0.3">
      <c r="D8" s="1542" t="s">
        <v>311</v>
      </c>
      <c r="E8" s="1543"/>
      <c r="F8" s="1543"/>
      <c r="G8" s="1543"/>
      <c r="H8" s="1543"/>
      <c r="I8" s="1543"/>
      <c r="J8" s="1543"/>
      <c r="K8" s="1543"/>
      <c r="L8" s="1543"/>
      <c r="M8" s="1543"/>
      <c r="N8" s="1543"/>
      <c r="O8" s="1543"/>
      <c r="P8" s="1543"/>
      <c r="Q8" s="1543"/>
      <c r="R8" s="1543"/>
      <c r="S8" s="1543"/>
      <c r="T8" s="1543"/>
      <c r="U8" s="1543"/>
      <c r="V8" s="1543"/>
      <c r="W8" s="1543"/>
      <c r="X8" s="1544"/>
    </row>
    <row r="9" spans="1:32" s="33" customFormat="1" ht="27.6" customHeight="1" thickBot="1" x14ac:dyDescent="0.3">
      <c r="B9" s="30"/>
      <c r="C9" s="30"/>
      <c r="D9" s="1315" t="s">
        <v>282</v>
      </c>
      <c r="E9" s="1317" t="s">
        <v>313</v>
      </c>
      <c r="F9" s="1317" t="s">
        <v>313</v>
      </c>
      <c r="G9" s="1539" t="s">
        <v>285</v>
      </c>
      <c r="H9" s="1315" t="s">
        <v>269</v>
      </c>
      <c r="I9" s="1313" t="s">
        <v>286</v>
      </c>
      <c r="J9" s="1546" t="s">
        <v>270</v>
      </c>
      <c r="K9" s="1313" t="s">
        <v>286</v>
      </c>
      <c r="L9" s="1552" t="s">
        <v>271</v>
      </c>
      <c r="M9" s="1552"/>
      <c r="N9" s="1552"/>
      <c r="O9" s="1552" t="s">
        <v>336</v>
      </c>
      <c r="P9" s="1552"/>
      <c r="Q9" s="1552"/>
      <c r="R9" s="1552"/>
      <c r="S9" s="1552"/>
      <c r="T9" s="1552"/>
      <c r="U9" s="1552" t="s">
        <v>337</v>
      </c>
      <c r="V9" s="1552"/>
      <c r="W9" s="1552"/>
      <c r="X9" s="1552"/>
      <c r="Y9" s="1535" t="s">
        <v>358</v>
      </c>
      <c r="Z9" s="1548"/>
      <c r="AA9" s="1548" t="s">
        <v>368</v>
      </c>
      <c r="AB9" s="1534" t="s">
        <v>316</v>
      </c>
      <c r="AC9" s="1532" t="s">
        <v>276</v>
      </c>
      <c r="AD9" s="1533"/>
      <c r="AE9" s="30"/>
      <c r="AF9" s="30"/>
    </row>
    <row r="10" spans="1:32" ht="57" customHeight="1" thickBot="1" x14ac:dyDescent="0.3">
      <c r="A10" s="101" t="s">
        <v>280</v>
      </c>
      <c r="C10" s="30" t="s">
        <v>369</v>
      </c>
      <c r="D10" s="1538"/>
      <c r="E10" s="1541"/>
      <c r="F10" s="1541"/>
      <c r="G10" s="1540"/>
      <c r="H10" s="1538"/>
      <c r="I10" s="1545"/>
      <c r="J10" s="1547"/>
      <c r="K10" s="1545"/>
      <c r="L10" s="668" t="s">
        <v>271</v>
      </c>
      <c r="M10" s="840" t="s">
        <v>271</v>
      </c>
      <c r="N10" s="667" t="s">
        <v>317</v>
      </c>
      <c r="O10" s="668" t="s">
        <v>318</v>
      </c>
      <c r="P10" s="840" t="s">
        <v>370</v>
      </c>
      <c r="Q10" s="840" t="s">
        <v>320</v>
      </c>
      <c r="R10" s="840" t="s">
        <v>321</v>
      </c>
      <c r="S10" s="840" t="s">
        <v>322</v>
      </c>
      <c r="T10" s="667" t="s">
        <v>323</v>
      </c>
      <c r="U10" s="668" t="s">
        <v>324</v>
      </c>
      <c r="V10" s="840" t="s">
        <v>325</v>
      </c>
      <c r="W10" s="840" t="s">
        <v>326</v>
      </c>
      <c r="X10" s="667" t="s">
        <v>327</v>
      </c>
      <c r="Y10" s="853" t="s">
        <v>361</v>
      </c>
      <c r="Z10" s="821" t="s">
        <v>358</v>
      </c>
      <c r="AA10" s="1535"/>
      <c r="AB10" s="1537"/>
      <c r="AC10" s="214" t="s">
        <v>295</v>
      </c>
      <c r="AD10" s="748" t="s">
        <v>296</v>
      </c>
      <c r="AE10" s="682" t="s">
        <v>297</v>
      </c>
      <c r="AF10" s="682" t="s">
        <v>363</v>
      </c>
    </row>
    <row r="11" spans="1:32" ht="13.8" x14ac:dyDescent="0.25">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3.8" x14ac:dyDescent="0.25">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3.8" x14ac:dyDescent="0.25">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3.8" x14ac:dyDescent="0.25">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3.8" x14ac:dyDescent="0.25">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3.8" x14ac:dyDescent="0.25">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3.8" x14ac:dyDescent="0.25">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3.8" x14ac:dyDescent="0.25">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3.8" x14ac:dyDescent="0.25">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3.8" x14ac:dyDescent="0.25">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3.8" x14ac:dyDescent="0.25">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3.8" x14ac:dyDescent="0.25">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3.8" x14ac:dyDescent="0.25">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3.8" x14ac:dyDescent="0.25">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3.8" x14ac:dyDescent="0.25">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3.8" x14ac:dyDescent="0.25">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3.8" x14ac:dyDescent="0.25">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3.8" x14ac:dyDescent="0.25">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3.8" x14ac:dyDescent="0.25">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3.8" x14ac:dyDescent="0.25">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3.8" x14ac:dyDescent="0.25">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3.8" x14ac:dyDescent="0.25">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3.8" x14ac:dyDescent="0.25">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3.8" x14ac:dyDescent="0.25">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3.8" x14ac:dyDescent="0.25">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3.8" x14ac:dyDescent="0.25">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3.8" x14ac:dyDescent="0.25">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3.8" x14ac:dyDescent="0.25">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3.8" x14ac:dyDescent="0.25">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3.8" x14ac:dyDescent="0.25">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3.8" x14ac:dyDescent="0.25">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3.8" x14ac:dyDescent="0.25">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3.8" x14ac:dyDescent="0.25">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3.8" x14ac:dyDescent="0.25">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3.8" x14ac:dyDescent="0.25">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3.8" x14ac:dyDescent="0.25">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3.8" x14ac:dyDescent="0.25">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3.8" x14ac:dyDescent="0.25">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3.8" x14ac:dyDescent="0.25">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3.8" x14ac:dyDescent="0.25">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3.8" x14ac:dyDescent="0.25">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3.8" x14ac:dyDescent="0.25">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3.8" x14ac:dyDescent="0.25">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3.8" x14ac:dyDescent="0.25">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3.8" x14ac:dyDescent="0.25">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3.8" x14ac:dyDescent="0.25">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3.8" x14ac:dyDescent="0.25">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3.8" x14ac:dyDescent="0.25">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3.8" x14ac:dyDescent="0.25">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3.8" x14ac:dyDescent="0.25">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3.8" x14ac:dyDescent="0.25">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3.8" x14ac:dyDescent="0.25">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3.8" x14ac:dyDescent="0.25">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3.8" x14ac:dyDescent="0.25">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3.8" x14ac:dyDescent="0.25">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3.8" x14ac:dyDescent="0.25">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3.8" x14ac:dyDescent="0.25">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3.8" x14ac:dyDescent="0.25">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3.8" x14ac:dyDescent="0.25">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3.8" x14ac:dyDescent="0.25">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3.8" x14ac:dyDescent="0.25">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3.8" x14ac:dyDescent="0.25">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3.8" x14ac:dyDescent="0.25">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3.8" x14ac:dyDescent="0.25">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3.8" x14ac:dyDescent="0.25">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3.8" x14ac:dyDescent="0.25">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3.8" x14ac:dyDescent="0.25">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3.8" x14ac:dyDescent="0.25">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3.8" x14ac:dyDescent="0.25">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3.8" x14ac:dyDescent="0.25">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3.8" x14ac:dyDescent="0.25">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3.8" x14ac:dyDescent="0.25">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3.8" x14ac:dyDescent="0.25">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3.8" x14ac:dyDescent="0.25">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3.8" x14ac:dyDescent="0.25">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3.8" x14ac:dyDescent="0.25">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3.8" x14ac:dyDescent="0.25">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3.8" x14ac:dyDescent="0.25">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3.8" x14ac:dyDescent="0.25">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3.8" x14ac:dyDescent="0.25">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3.8" x14ac:dyDescent="0.25">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3.8" x14ac:dyDescent="0.25">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3.8" x14ac:dyDescent="0.25">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3.8" x14ac:dyDescent="0.25">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3.8" x14ac:dyDescent="0.25">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3.8" x14ac:dyDescent="0.25">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3.8" x14ac:dyDescent="0.25">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3.8" x14ac:dyDescent="0.25">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3.8" x14ac:dyDescent="0.25">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3.8" x14ac:dyDescent="0.25">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3.8" x14ac:dyDescent="0.25">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3.8" x14ac:dyDescent="0.25">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3.8" x14ac:dyDescent="0.25">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3.8" x14ac:dyDescent="0.25">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3.8" x14ac:dyDescent="0.25">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3.8" x14ac:dyDescent="0.25">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3.8" x14ac:dyDescent="0.25">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3.8" x14ac:dyDescent="0.25">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3.8" x14ac:dyDescent="0.25">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3.8" x14ac:dyDescent="0.25">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3.8" x14ac:dyDescent="0.25">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3.8" x14ac:dyDescent="0.25">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3.8" x14ac:dyDescent="0.25">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3.8" x14ac:dyDescent="0.25">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3.8" x14ac:dyDescent="0.25">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3.8" x14ac:dyDescent="0.25">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3.8" x14ac:dyDescent="0.25">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3.8" x14ac:dyDescent="0.25">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3.8" x14ac:dyDescent="0.25">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3.8" x14ac:dyDescent="0.25">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3.8" x14ac:dyDescent="0.25">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3.8" x14ac:dyDescent="0.25">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3.8" x14ac:dyDescent="0.25">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3.8" x14ac:dyDescent="0.25">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3.8" x14ac:dyDescent="0.25">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3.8" x14ac:dyDescent="0.25">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3.8" x14ac:dyDescent="0.25">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3.8" x14ac:dyDescent="0.25">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3.8" x14ac:dyDescent="0.25">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3.8" x14ac:dyDescent="0.25">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3.8" x14ac:dyDescent="0.25">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3.8" x14ac:dyDescent="0.25">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3.8" x14ac:dyDescent="0.25">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3.8" x14ac:dyDescent="0.25">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3.8" x14ac:dyDescent="0.25">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3.8" x14ac:dyDescent="0.25">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3.8" x14ac:dyDescent="0.25">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3.8" x14ac:dyDescent="0.25">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3.8" x14ac:dyDescent="0.25">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3.8" x14ac:dyDescent="0.25">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3.8" x14ac:dyDescent="0.25">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3.8" x14ac:dyDescent="0.25">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3.8" x14ac:dyDescent="0.25">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3.8" x14ac:dyDescent="0.25">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3.8" x14ac:dyDescent="0.25">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3.8" x14ac:dyDescent="0.25">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3.8" x14ac:dyDescent="0.25">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3.8" x14ac:dyDescent="0.25">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3.8" x14ac:dyDescent="0.25">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3.8" x14ac:dyDescent="0.25">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3.8" x14ac:dyDescent="0.25">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3.8" x14ac:dyDescent="0.25">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3.8" x14ac:dyDescent="0.25">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3.8" x14ac:dyDescent="0.25">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3.8" x14ac:dyDescent="0.25">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3.8" x14ac:dyDescent="0.25">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3.8" x14ac:dyDescent="0.25">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3.8" x14ac:dyDescent="0.25">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3.8" x14ac:dyDescent="0.25">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3.8" x14ac:dyDescent="0.25">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3.8" x14ac:dyDescent="0.25">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3.8" x14ac:dyDescent="0.25">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3.8" x14ac:dyDescent="0.25">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3.8" x14ac:dyDescent="0.25">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3.8" x14ac:dyDescent="0.25">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3.8" x14ac:dyDescent="0.25">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3.8" x14ac:dyDescent="0.25">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3.8" x14ac:dyDescent="0.25">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3.8" x14ac:dyDescent="0.25">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3.8" x14ac:dyDescent="0.25">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3.8" x14ac:dyDescent="0.25">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3.8" x14ac:dyDescent="0.25">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3.8" x14ac:dyDescent="0.25">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3.8" x14ac:dyDescent="0.25">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3.8" x14ac:dyDescent="0.25">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3.8" x14ac:dyDescent="0.25">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3.8" x14ac:dyDescent="0.25">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3.8" x14ac:dyDescent="0.25">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3.8" x14ac:dyDescent="0.25">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3.8" x14ac:dyDescent="0.25">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3.8" x14ac:dyDescent="0.25">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3.8" x14ac:dyDescent="0.25">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3.8" x14ac:dyDescent="0.25">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3.8" x14ac:dyDescent="0.25">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3.8" x14ac:dyDescent="0.25">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3.8" x14ac:dyDescent="0.25">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3.8" x14ac:dyDescent="0.25">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3.8" x14ac:dyDescent="0.25">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3.8" x14ac:dyDescent="0.25">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3.8" x14ac:dyDescent="0.25">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3.8" x14ac:dyDescent="0.25">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3.8" x14ac:dyDescent="0.25">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3.8" x14ac:dyDescent="0.25">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3.8" x14ac:dyDescent="0.25">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3.8" x14ac:dyDescent="0.25">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3.8" x14ac:dyDescent="0.25">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3.8" x14ac:dyDescent="0.25">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3.8" x14ac:dyDescent="0.25">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3.8" x14ac:dyDescent="0.25">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3.8" x14ac:dyDescent="0.25">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3.8" x14ac:dyDescent="0.25">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3.8" x14ac:dyDescent="0.25">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3.8" x14ac:dyDescent="0.25">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3.8" x14ac:dyDescent="0.25">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3.8" x14ac:dyDescent="0.25">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3.8" x14ac:dyDescent="0.25">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3.8" x14ac:dyDescent="0.25">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3.8" x14ac:dyDescent="0.25">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3.8" x14ac:dyDescent="0.25">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3.8" x14ac:dyDescent="0.25">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3.8" x14ac:dyDescent="0.25">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3.8" x14ac:dyDescent="0.25">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3.8" x14ac:dyDescent="0.25">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3.8" x14ac:dyDescent="0.25">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3.8" x14ac:dyDescent="0.25">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3.8" x14ac:dyDescent="0.25">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3.8" x14ac:dyDescent="0.25">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3.8" x14ac:dyDescent="0.25">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3.8" x14ac:dyDescent="0.25">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3.8" x14ac:dyDescent="0.25">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3.8" x14ac:dyDescent="0.25">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3.8" x14ac:dyDescent="0.25">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3.8" x14ac:dyDescent="0.25">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3.8" x14ac:dyDescent="0.25">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3.8" x14ac:dyDescent="0.25">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3.8" x14ac:dyDescent="0.25">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3.8" x14ac:dyDescent="0.25">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3.8" x14ac:dyDescent="0.25">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3.8" x14ac:dyDescent="0.25">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3.8" x14ac:dyDescent="0.25">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3.8" x14ac:dyDescent="0.25">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3.8" x14ac:dyDescent="0.25">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3.8" x14ac:dyDescent="0.25">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3.8" x14ac:dyDescent="0.25">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3.8" x14ac:dyDescent="0.25">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3.8" x14ac:dyDescent="0.25">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3.8" x14ac:dyDescent="0.25">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3.8" x14ac:dyDescent="0.25">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3.8" x14ac:dyDescent="0.25">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3.8" x14ac:dyDescent="0.25">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3.8" x14ac:dyDescent="0.25">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3.8" x14ac:dyDescent="0.25">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3.8" x14ac:dyDescent="0.25">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3.8" x14ac:dyDescent="0.25">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3.8" x14ac:dyDescent="0.25">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3.8" x14ac:dyDescent="0.25">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3.8" x14ac:dyDescent="0.25">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3.8" x14ac:dyDescent="0.25">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3.8" x14ac:dyDescent="0.25">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3.8" x14ac:dyDescent="0.25">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3.8" x14ac:dyDescent="0.25">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3.8" x14ac:dyDescent="0.25">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3.8" x14ac:dyDescent="0.25">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3.8" x14ac:dyDescent="0.25">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3.8" x14ac:dyDescent="0.25">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 thickBot="1" x14ac:dyDescent="0.3">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 thickBot="1" x14ac:dyDescent="0.3">
      <c r="E257" s="655" t="s">
        <v>329</v>
      </c>
      <c r="F257" s="261" t="s">
        <v>330</v>
      </c>
      <c r="G257" s="403">
        <f>SUM(G11:G256)</f>
        <v>0</v>
      </c>
      <c r="T257" s="133"/>
      <c r="U257" s="133"/>
      <c r="V257" s="133"/>
      <c r="W257" s="133"/>
      <c r="X257" s="133"/>
      <c r="Y257" s="133"/>
      <c r="Z257" s="740" t="s">
        <v>331</v>
      </c>
      <c r="AA257" s="344">
        <f>SUM(AA11:AA256)</f>
        <v>0</v>
      </c>
      <c r="AB257" s="414">
        <f>SUM(AB11:AB256)</f>
        <v>0</v>
      </c>
    </row>
    <row r="258" spans="5:28" ht="14.4" thickBot="1" x14ac:dyDescent="0.3"/>
    <row r="259" spans="5:28" ht="14.4" thickBot="1" x14ac:dyDescent="0.3">
      <c r="E259" s="511" t="s">
        <v>305</v>
      </c>
      <c r="F259" s="35"/>
      <c r="G259" s="381">
        <f>IF('Detailed Results'!$K$40&gt;0,"Error",SUMIFS($G$11:$G$256,$F$11:$F$256,"&lt;&gt;"&amp;'G-1 All Habitats'!B80,$F$11:$F$256,"&lt;&gt;"&amp;'G-1 All Habitats'!B81,$F$11:$F$256,"&lt;&gt;"&amp;'G-1 All Habitats'!B67,$F$11:$F$256,"&lt;&gt;"&amp;'G-1 All Habitats'!B68, $F$11:$F$256,"&lt;&gt;"&amp;'G-1 All Habitats'!B81))</f>
        <v>0</v>
      </c>
    </row>
    <row r="260" spans="5:28" ht="14.4" thickBot="1" x14ac:dyDescent="0.3"/>
    <row r="261" spans="5:28" ht="13.8" x14ac:dyDescent="0.25">
      <c r="E261" s="1465" t="s">
        <v>307</v>
      </c>
      <c r="F261" s="36"/>
      <c r="G261" s="554" t="s">
        <v>308</v>
      </c>
      <c r="H261" s="551" t="s">
        <v>309</v>
      </c>
      <c r="I261" s="1419" t="s">
        <v>310</v>
      </c>
      <c r="J261" s="1420"/>
    </row>
    <row r="262" spans="5:28" ht="14.4" thickBot="1" x14ac:dyDescent="0.3">
      <c r="E262" s="1466"/>
      <c r="F262" s="36"/>
      <c r="G262" s="553"/>
      <c r="H262" s="552" t="str">
        <f>IF(G261="Hectares",G262,IF(G261="M²",G262/10000,""))</f>
        <v/>
      </c>
      <c r="I262" s="1421" t="str">
        <f>IF(G261="M²",G262,IF(G261="Hectares",G262*10000,""))</f>
        <v/>
      </c>
      <c r="J262" s="1422"/>
    </row>
    <row r="263" spans="5:28" ht="13.8" x14ac:dyDescent="0.25"/>
    <row r="264" spans="5:28" ht="13.8" hidden="1" x14ac:dyDescent="0.25">
      <c r="T264" s="30" t="s">
        <v>371</v>
      </c>
      <c r="U264" s="30" t="s">
        <v>371</v>
      </c>
      <c r="X264" s="30" t="s">
        <v>371</v>
      </c>
      <c r="AA264" s="30" t="s">
        <v>371</v>
      </c>
    </row>
    <row r="265" spans="5:28" ht="13.8" hidden="1" x14ac:dyDescent="0.25">
      <c r="T265" s="30" t="s">
        <v>371</v>
      </c>
      <c r="U265" s="30" t="s">
        <v>371</v>
      </c>
      <c r="X265" s="30" t="s">
        <v>371</v>
      </c>
      <c r="AA265" s="30" t="s">
        <v>371</v>
      </c>
    </row>
    <row r="266" spans="5:28" ht="13.8" hidden="1" x14ac:dyDescent="0.25"/>
    <row r="267" spans="5:28" ht="13.8" hidden="1" x14ac:dyDescent="0.25"/>
    <row r="268" spans="5:28" ht="13.8" hidden="1" x14ac:dyDescent="0.25"/>
    <row r="269" spans="5:28" ht="13.8" hidden="1" x14ac:dyDescent="0.25"/>
    <row r="270" spans="5:28" ht="13.8" hidden="1" x14ac:dyDescent="0.25"/>
  </sheetData>
  <sheetProtection algorithmName="SHA-512" hashValue="zp0KEWEQh0adOlV2BxfNpmrHnev/xxnbSPPwODTyiX11r8bXdsFk+OZ0jnWemrnA8/2+1oReVZAE+DcT+Fp/pg==" saltValue="xzORp/QJRIqx9FhDze/aLQ=="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E261:E262"/>
    <mergeCell ref="I261:J261"/>
    <mergeCell ref="I262:J262"/>
    <mergeCell ref="AA9:AA10"/>
    <mergeCell ref="U2:Y5"/>
    <mergeCell ref="H4:K4"/>
    <mergeCell ref="O2:T3"/>
    <mergeCell ref="H2:L2"/>
    <mergeCell ref="Y9:Z9"/>
    <mergeCell ref="H6:K6"/>
    <mergeCell ref="L9:N9"/>
    <mergeCell ref="O9:T9"/>
    <mergeCell ref="U9:X9"/>
    <mergeCell ref="U6:X6"/>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s>
  <conditionalFormatting sqref="K11:K256">
    <cfRule type="containsText" dxfId="393" priority="54" operator="containsText" text="Not Possible">
      <formula>NOT(ISERROR(SEARCH("Not Possible",K11)))</formula>
    </cfRule>
  </conditionalFormatting>
  <conditionalFormatting sqref="L3">
    <cfRule type="containsText" dxfId="392" priority="18" operator="containsText" text="Error">
      <formula>NOT(ISERROR(SEARCH("Error",L3)))</formula>
    </cfRule>
    <cfRule type="containsText" dxfId="391" priority="19" operator="containsText" text="Check">
      <formula>NOT(ISERROR(SEARCH("Check",L3)))</formula>
    </cfRule>
  </conditionalFormatting>
  <conditionalFormatting sqref="L3:L6">
    <cfRule type="containsText" dxfId="390" priority="1" operator="containsText" text="N/A">
      <formula>NOT(ISERROR(SEARCH("N/A",L3)))</formula>
    </cfRule>
  </conditionalFormatting>
  <conditionalFormatting sqref="L4">
    <cfRule type="containsText" dxfId="389" priority="2" operator="containsText" text="Error">
      <formula>NOT(ISERROR(SEARCH("Error",L4)))</formula>
    </cfRule>
    <cfRule type="containsText" dxfId="388" priority="3" operator="containsText" text="Check">
      <formula>NOT(ISERROR(SEARCH("Check",L4)))</formula>
    </cfRule>
    <cfRule type="cellIs" dxfId="387" priority="4" operator="equal">
      <formula>0</formula>
    </cfRule>
    <cfRule type="cellIs" dxfId="384" priority="429" operator="lessThan">
      <formula>0</formula>
    </cfRule>
  </conditionalFormatting>
  <conditionalFormatting sqref="L5">
    <cfRule type="containsText" dxfId="383" priority="14" operator="containsText" text="No">
      <formula>NOT(ISERROR(SEARCH("No",L5)))</formula>
    </cfRule>
    <cfRule type="containsText" dxfId="382" priority="15" operator="containsText" text="Yes">
      <formula>NOT(ISERROR(SEARCH("Yes",L5)))</formula>
    </cfRule>
  </conditionalFormatting>
  <conditionalFormatting sqref="L6:N6">
    <cfRule type="containsText" dxfId="381" priority="12" operator="containsText" text=" 🗸">
      <formula>NOT(ISERROR(SEARCH(" 🗸",L6)))</formula>
    </cfRule>
    <cfRule type="containsText" dxfId="380" priority="13" operator="containsText" text="▲">
      <formula>NOT(ISERROR(SEARCH("▲",L6)))</formula>
    </cfRule>
  </conditionalFormatting>
  <conditionalFormatting sqref="M11:N256">
    <cfRule type="containsText" dxfId="379" priority="42" operator="containsText" text="Spatial ">
      <formula>NOT(ISERROR(SEARCH("Spatial ",M11)))</formula>
    </cfRule>
  </conditionalFormatting>
  <conditionalFormatting sqref="O2 S4 O5">
    <cfRule type="beginsWith" dxfId="378" priority="35" operator="beginsWith" text="Note">
      <formula>LEFT(O2,LEN("Note"))="Note"</formula>
    </cfRule>
  </conditionalFormatting>
  <conditionalFormatting sqref="O5">
    <cfRule type="containsText" dxfId="377" priority="34" operator="containsText" text="Check">
      <formula>NOT(ISERROR(SEARCH("Check",O5)))</formula>
    </cfRule>
  </conditionalFormatting>
  <conditionalFormatting sqref="O11:O256">
    <cfRule type="containsText" dxfId="376" priority="41" operator="containsText" text="30+">
      <formula>NOT(ISERROR(SEARCH("30+",O11)))</formula>
    </cfRule>
  </conditionalFormatting>
  <conditionalFormatting sqref="R11:X11 S11:S255 R12:W256">
    <cfRule type="containsText" dxfId="375" priority="30" operator="containsText" text="Error">
      <formula>NOT(ISERROR(SEARCH("Error",R11)))</formula>
    </cfRule>
  </conditionalFormatting>
  <conditionalFormatting sqref="R11:AA11 S11:S255 R12:W256">
    <cfRule type="containsText" dxfId="374" priority="32" operator="containsText" text="Check">
      <formula>NOT(ISERROR(SEARCH("Check",R11)))</formula>
    </cfRule>
  </conditionalFormatting>
  <conditionalFormatting sqref="S11:S256">
    <cfRule type="containsText" dxfId="373" priority="33" operator="containsText" text="30+">
      <formula>NOT(ISERROR(SEARCH("30+",S11)))</formula>
    </cfRule>
  </conditionalFormatting>
  <conditionalFormatting sqref="U6:X6">
    <cfRule type="containsText" dxfId="372" priority="6" operator="containsText" text=" ⚠">
      <formula>NOT(ISERROR(SEARCH(" ⚠",U6)))</formula>
    </cfRule>
  </conditionalFormatting>
  <conditionalFormatting sqref="U2:Y5">
    <cfRule type="containsText" dxfId="371" priority="11" operator="containsText" text="Check">
      <formula>NOT(ISERROR(SEARCH("Check",U2)))</formula>
    </cfRule>
  </conditionalFormatting>
  <conditionalFormatting sqref="V11:V256">
    <cfRule type="containsText" dxfId="370" priority="31" operator="containsText" text="No - Low Difficulty">
      <formula>NOT(ISERROR(SEARCH("No - Low Difficulty",V11)))</formula>
    </cfRule>
  </conditionalFormatting>
  <conditionalFormatting sqref="X12:X256">
    <cfRule type="containsText" dxfId="369" priority="20" operator="containsText" text="Error">
      <formula>NOT(ISERROR(SEARCH("Error",X12)))</formula>
    </cfRule>
    <cfRule type="containsText" dxfId="368" priority="21" operator="containsText" text="Check">
      <formula>NOT(ISERROR(SEARCH("Check",X12)))</formula>
    </cfRule>
  </conditionalFormatting>
  <conditionalFormatting sqref="Y11:Y256">
    <cfRule type="containsText" dxfId="367" priority="55" operator="containsText" text="Existing Value Not Required">
      <formula>NOT(ISERROR(SEARCH("Existing Value Not Required",Y11)))</formula>
    </cfRule>
    <cfRule type="containsText" dxfId="366" priority="56" operator="containsText" text="Existing Value Required">
      <formula>NOT(ISERROR(SEARCH("Existing Value Required",Y11)))</formula>
    </cfRule>
  </conditionalFormatting>
  <conditionalFormatting sqref="Y12 Y14 Y16 Y18 Y20 Y22 Y24:Y256">
    <cfRule type="containsText" dxfId="365" priority="49" operator="containsText" text="Existing Value Not Required">
      <formula>NOT(ISERROR(SEARCH("Existing Value Not Required",Y12)))</formula>
    </cfRule>
    <cfRule type="containsText" dxfId="364" priority="50" operator="containsText" text="Existing Value Required">
      <formula>NOT(ISERROR(SEARCH("Existing Value Required",Y12)))</formula>
    </cfRule>
  </conditionalFormatting>
  <conditionalFormatting sqref="Y12:Z256 Y11:AA11 AA11:AA256 AA257:AB257">
    <cfRule type="containsText" dxfId="363" priority="39" operator="containsText" text="Error">
      <formula>NOT(ISERROR(SEARCH("Error",Y11)))</formula>
    </cfRule>
  </conditionalFormatting>
  <conditionalFormatting sqref="Y12:Z256">
    <cfRule type="containsText" dxfId="362" priority="38" operator="containsText" text="Check">
      <formula>NOT(ISERROR(SEARCH("Check",Y12)))</formula>
    </cfRule>
  </conditionalFormatting>
  <conditionalFormatting sqref="Z11:Z256">
    <cfRule type="containsText" dxfId="361" priority="37" operator="containsText" text="Spatial">
      <formula>NOT(ISERROR(SEARCH("Spatial",Z11)))</formula>
    </cfRule>
  </conditionalFormatting>
  <conditionalFormatting sqref="AA11:AA256 AA257:AB257">
    <cfRule type="containsText" dxfId="360" priority="45" operator="containsText" text="Existing Value Not Required">
      <formula>NOT(ISERROR(SEARCH("Existing Value Not Required",AA11)))</formula>
    </cfRule>
    <cfRule type="containsText" dxfId="359" priority="46" operator="containsText" text="Existing Value Required">
      <formula>NOT(ISERROR(SEARCH("Existing Value Required",AA11)))</formula>
    </cfRule>
  </conditionalFormatting>
  <conditionalFormatting sqref="AA11:AB257">
    <cfRule type="containsText" dxfId="358" priority="7" operator="containsText" text="Check">
      <formula>NOT(ISERROR(SEARCH("Check",AA11)))</formula>
    </cfRule>
  </conditionalFormatting>
  <conditionalFormatting sqref="AB11:AB256">
    <cfRule type="containsText" dxfId="357" priority="8" operator="containsText" text="Error">
      <formula>NOT(ISERROR(SEARCH("Error",AB11)))</formula>
    </cfRule>
    <cfRule type="containsText" dxfId="356" priority="9" operator="containsText" text="Existing Value Not Required">
      <formula>NOT(ISERROR(SEARCH("Existing Value Not Required",AB11)))</formula>
    </cfRule>
    <cfRule type="containsText" dxfId="355" priority="10"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lessThan" id="{9FB64BC4-5452-406E-BB69-69551A90F2C1}">
            <xm:f>Start!$F$22</xm:f>
            <x14:dxf>
              <font>
                <color rgb="FF383745"/>
              </font>
              <fill>
                <patternFill>
                  <bgColor rgb="FFFFC000"/>
                </patternFill>
              </fill>
            </x14:dxf>
          </x14:cfRule>
          <x14:cfRule type="cellIs" priority="431"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3"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2"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77734375" defaultRowHeight="13.8" zeroHeight="1" x14ac:dyDescent="0.25"/>
  <cols>
    <col min="1" max="1" width="8.44140625" style="30" hidden="1" customWidth="1"/>
    <col min="2" max="2" width="7.5546875" style="30" hidden="1" customWidth="1"/>
    <col min="3" max="3" width="25.77734375" style="30" hidden="1" customWidth="1"/>
    <col min="4" max="4" width="13.44140625" style="30" hidden="1" customWidth="1"/>
    <col min="5" max="5" width="12.21875" style="30" customWidth="1"/>
    <col min="6" max="6" width="73.44140625" style="30" customWidth="1"/>
    <col min="7" max="7" width="9.5546875" style="30" customWidth="1"/>
    <col min="8" max="8" width="18.21875" style="30" customWidth="1"/>
    <col min="9" max="9" width="19.21875" style="30" customWidth="1"/>
    <col min="10" max="10" width="18.21875" style="30" customWidth="1"/>
    <col min="11" max="11" width="19.21875" style="30" customWidth="1"/>
    <col min="12" max="12" width="22.21875" style="30" customWidth="1"/>
    <col min="13" max="13" width="21.5546875" style="30" customWidth="1"/>
    <col min="14" max="14" width="19.21875" style="30" customWidth="1"/>
    <col min="15" max="15" width="29.77734375" style="30" customWidth="1"/>
    <col min="16" max="16" width="25.77734375" style="30" hidden="1" customWidth="1"/>
    <col min="17" max="17" width="29.77734375" style="30" customWidth="1"/>
    <col min="18" max="18" width="71.21875" style="30" customWidth="1"/>
    <col min="19" max="19" width="15.77734375" style="30" hidden="1" customWidth="1"/>
    <col min="20" max="20" width="34.21875" style="30" customWidth="1"/>
    <col min="21" max="21" width="37.77734375" style="30" customWidth="1"/>
    <col min="22" max="22" width="8.21875" style="30" customWidth="1"/>
    <col min="23" max="23" width="18.21875" style="30" customWidth="1"/>
    <col min="24" max="24" width="13.21875" style="30" customWidth="1"/>
    <col min="25" max="25" width="12.5546875" style="30" bestFit="1" customWidth="1"/>
    <col min="26" max="26" width="12.5546875" style="30" customWidth="1"/>
    <col min="27" max="27" width="41.77734375" style="30" customWidth="1"/>
    <col min="28" max="28" width="20.21875" style="30" customWidth="1"/>
    <col min="29" max="29" width="12.21875" style="30" customWidth="1"/>
    <col min="30" max="30" width="18.44140625" style="30" customWidth="1"/>
    <col min="31" max="31" width="21.21875" style="30" customWidth="1"/>
    <col min="32" max="32" width="22.21875" style="30" customWidth="1"/>
    <col min="33" max="33" width="33" style="30" customWidth="1"/>
    <col min="34" max="35" width="18.44140625" style="30" customWidth="1"/>
    <col min="36" max="36" width="15.21875" style="30" customWidth="1"/>
    <col min="37" max="37" width="28.21875" style="30" customWidth="1"/>
    <col min="38" max="38" width="20.21875" style="30" customWidth="1"/>
    <col min="39" max="39" width="13.5546875" style="30" customWidth="1"/>
    <col min="40" max="40" width="91.44140625" style="30" customWidth="1"/>
    <col min="41" max="41" width="15.44140625" style="30" customWidth="1"/>
    <col min="42" max="42" width="12.44140625" style="30" hidden="1" customWidth="1"/>
    <col min="43" max="43" width="13.21875" style="30" customWidth="1"/>
    <col min="44" max="44" width="45.77734375" style="30" customWidth="1"/>
    <col min="45" max="45" width="50.44140625" style="30" customWidth="1"/>
    <col min="46" max="46" width="15.5546875" style="30" customWidth="1"/>
    <col min="47" max="47" width="17.77734375" style="30" customWidth="1"/>
    <col min="48" max="48" width="8.77734375" style="30" customWidth="1"/>
    <col min="49" max="16384" width="8.77734375" style="30"/>
  </cols>
  <sheetData>
    <row r="1" spans="1:47" ht="15.75" customHeight="1" thickBot="1" x14ac:dyDescent="0.3"/>
    <row r="2" spans="1:47" ht="19.95" customHeight="1" thickBot="1" x14ac:dyDescent="0.35">
      <c r="E2" s="1554" t="str">
        <f>CONCATENATE("Project Name:", " ", Start!F12, "     ", "Map Reference:", " ", Start!K66)</f>
        <v xml:space="preserve">Project Name: Broadfield Park Slopes (‘The Slopes’), The Esplanade, Rochdale, OL16 1AQ     Map Reference: </v>
      </c>
      <c r="F2" s="1555"/>
      <c r="G2" s="1556"/>
      <c r="R2" s="1404" t="s">
        <v>262</v>
      </c>
      <c r="S2" s="1405"/>
      <c r="T2" s="1405"/>
      <c r="U2" s="1406"/>
      <c r="V2" s="1518" t="str" cm="1">
        <f t="array" ref="V2">IF(OR(Y12:Y258 = "Fairly Good", Y12:Y258 = "Fairly Poor"),"A 'Fairly' Category has been used - check evidence to ensure this is appropriate ⚠", "")</f>
        <v/>
      </c>
      <c r="W2" s="1518"/>
      <c r="X2" s="1518"/>
      <c r="Y2" s="1518"/>
      <c r="Z2" s="1518"/>
      <c r="AA2" s="1518"/>
      <c r="AD2" s="1464" t="str">
        <f>IF(OR(COUNTIF($AD$12:AD257,"*30+*")&gt;0,COUNTIF(AH12:AH257,"*30+*")&gt;0),"Note; Habitat selected has a time to target condition greater than 30 years. Non standard agreement may be required. ⚠","")</f>
        <v/>
      </c>
      <c r="AE2" s="1464"/>
      <c r="AF2" s="1464"/>
      <c r="AG2" s="1464"/>
      <c r="AH2" s="1464"/>
      <c r="AI2" s="1464"/>
    </row>
    <row r="3" spans="1:47" ht="15.75" customHeight="1" thickBot="1" x14ac:dyDescent="0.3">
      <c r="E3" s="1557" t="str">
        <f ca="1">MID(CELL("filename",E1),FIND("]",CELL("filename",E1))+1,256)</f>
        <v>D-3 Off-Site Habitat Enhancment</v>
      </c>
      <c r="F3" s="1558"/>
      <c r="G3" s="1559"/>
      <c r="R3" s="535" t="s">
        <v>263</v>
      </c>
      <c r="S3" s="505"/>
      <c r="T3" s="1501">
        <f>'Headline Results'!H47</f>
        <v>-4.3556251813435223</v>
      </c>
      <c r="U3" s="1502"/>
      <c r="V3" s="1518"/>
      <c r="W3" s="1518"/>
      <c r="X3" s="1518"/>
      <c r="Y3" s="1518"/>
      <c r="Z3" s="1518"/>
      <c r="AA3" s="1518"/>
      <c r="AD3" s="1464"/>
      <c r="AE3" s="1464"/>
      <c r="AF3" s="1464"/>
      <c r="AG3" s="1464"/>
      <c r="AH3" s="1464"/>
      <c r="AI3" s="1464"/>
    </row>
    <row r="4" spans="1:47" ht="15.75" customHeight="1" thickBot="1" x14ac:dyDescent="0.35">
      <c r="E4" s="1557"/>
      <c r="F4" s="1558"/>
      <c r="G4" s="1559"/>
      <c r="R4" s="506" t="s">
        <v>265</v>
      </c>
      <c r="S4" s="507"/>
      <c r="T4" s="1577">
        <f>'Headline Results'!H51</f>
        <v>-0.50089298888919165</v>
      </c>
      <c r="U4" s="1578"/>
      <c r="V4" s="1518"/>
      <c r="W4" s="1518"/>
      <c r="X4" s="1518"/>
      <c r="Y4" s="1518"/>
      <c r="Z4" s="1518"/>
      <c r="AA4" s="1518"/>
      <c r="AB4" s="31"/>
      <c r="AC4" s="158"/>
      <c r="AD4" s="331"/>
      <c r="AE4" s="331"/>
      <c r="AF4" s="331"/>
      <c r="AG4" s="331"/>
      <c r="AH4" s="158"/>
      <c r="AI4" s="158"/>
      <c r="AJ4" s="158"/>
      <c r="AK4" s="158"/>
      <c r="AL4" s="158"/>
      <c r="AM4" s="158"/>
      <c r="AN4" s="158"/>
    </row>
    <row r="5" spans="1:47" ht="15" customHeight="1" thickBot="1" x14ac:dyDescent="0.3">
      <c r="R5" s="536" t="s">
        <v>267</v>
      </c>
      <c r="S5" s="508"/>
      <c r="T5" s="1579" t="str" cm="1">
        <f t="array" ref="T5">IF(OR('Trading Summary Area Habitats'!G5:G8="No ▲"), "No - check trading summaries ▲", "Yes ✓")</f>
        <v>No - check trading summaries ▲</v>
      </c>
      <c r="U5" s="1580"/>
      <c r="V5" s="1518"/>
      <c r="W5" s="1518"/>
      <c r="X5" s="1518"/>
      <c r="Y5" s="1518"/>
      <c r="Z5" s="1518"/>
      <c r="AA5" s="1518"/>
      <c r="AD5" s="1497" t="str">
        <f>IF(Q12&lt;&gt;A12,"Change in broad habitat type detected. Check compliance with guidance.","")</f>
        <v/>
      </c>
      <c r="AE5" s="1497"/>
      <c r="AF5" s="1497"/>
      <c r="AG5" s="1497"/>
      <c r="AH5" s="1497"/>
      <c r="AI5" s="1497"/>
    </row>
    <row r="6" spans="1:47" ht="15.75" customHeight="1" x14ac:dyDescent="0.25">
      <c r="R6" s="1553" t="str" cm="1">
        <f t="array" ref="R6">IF(OR(E11:E258="watercourse footprint"),"Please ensure the watercourse details for any watercourse footprints recorded are included in the watercourse tabs ⚠","")</f>
        <v/>
      </c>
      <c r="S6" s="1553"/>
      <c r="T6" s="1553"/>
      <c r="AD6" s="1497"/>
      <c r="AE6" s="1497"/>
      <c r="AF6" s="1497"/>
      <c r="AG6" s="1497"/>
      <c r="AH6" s="1497"/>
      <c r="AI6" s="1497"/>
    </row>
    <row r="7" spans="1:47" x14ac:dyDescent="0.25">
      <c r="F7" s="102"/>
      <c r="G7" s="101"/>
      <c r="R7" s="1553"/>
      <c r="S7" s="1553"/>
      <c r="T7" s="1553"/>
    </row>
    <row r="8" spans="1:47" ht="14.4" thickBot="1" x14ac:dyDescent="0.3">
      <c r="R8" s="1581"/>
      <c r="S8" s="1581"/>
      <c r="T8" s="1581"/>
    </row>
    <row r="9" spans="1:47" ht="14.4" thickBot="1" x14ac:dyDescent="0.3">
      <c r="F9" s="101"/>
      <c r="G9" s="101"/>
      <c r="H9" s="101"/>
      <c r="I9" s="101"/>
      <c r="J9" s="101"/>
      <c r="K9" s="101"/>
      <c r="L9" s="101"/>
      <c r="M9" s="101"/>
      <c r="N9" s="101"/>
      <c r="O9" s="101"/>
      <c r="P9" s="101"/>
      <c r="Q9" s="1542" t="s">
        <v>311</v>
      </c>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3"/>
      <c r="AO9" s="1544"/>
    </row>
    <row r="10" spans="1:47" ht="30.6" customHeight="1" thickBot="1" x14ac:dyDescent="0.3">
      <c r="F10" s="1560" t="s">
        <v>332</v>
      </c>
      <c r="G10" s="1562"/>
      <c r="H10" s="1562"/>
      <c r="I10" s="1562"/>
      <c r="J10" s="1562"/>
      <c r="K10" s="1562"/>
      <c r="L10" s="1562"/>
      <c r="M10" s="1562"/>
      <c r="N10" s="1562"/>
      <c r="O10" s="1563"/>
      <c r="P10" s="183"/>
      <c r="Q10" s="1560" t="s">
        <v>372</v>
      </c>
      <c r="R10" s="1563"/>
      <c r="S10" s="751"/>
      <c r="T10" s="1560" t="s">
        <v>334</v>
      </c>
      <c r="U10" s="1563"/>
      <c r="V10" s="1571" t="s">
        <v>373</v>
      </c>
      <c r="W10" s="1568" t="s">
        <v>269</v>
      </c>
      <c r="X10" s="1568" t="s">
        <v>286</v>
      </c>
      <c r="Y10" s="1568" t="s">
        <v>270</v>
      </c>
      <c r="Z10" s="1566" t="s">
        <v>286</v>
      </c>
      <c r="AA10" s="1564" t="s">
        <v>271</v>
      </c>
      <c r="AB10" s="1565"/>
      <c r="AC10" s="1561"/>
      <c r="AD10" s="1573" t="s">
        <v>314</v>
      </c>
      <c r="AE10" s="1574"/>
      <c r="AF10" s="1574"/>
      <c r="AG10" s="1574"/>
      <c r="AH10" s="1574"/>
      <c r="AI10" s="1575"/>
      <c r="AJ10" s="1573" t="s">
        <v>315</v>
      </c>
      <c r="AK10" s="1574"/>
      <c r="AL10" s="1574"/>
      <c r="AM10" s="1575"/>
      <c r="AN10" s="1560" t="s">
        <v>358</v>
      </c>
      <c r="AO10" s="1561"/>
      <c r="AP10" s="1537" t="s">
        <v>374</v>
      </c>
      <c r="AQ10" s="1537" t="s">
        <v>316</v>
      </c>
      <c r="AR10" s="1542" t="s">
        <v>276</v>
      </c>
      <c r="AS10" s="1544"/>
    </row>
    <row r="11" spans="1:47" ht="65.099999999999994" customHeight="1" thickBot="1" x14ac:dyDescent="0.3">
      <c r="A11" s="101" t="s">
        <v>282</v>
      </c>
      <c r="B11" s="101" t="s">
        <v>338</v>
      </c>
      <c r="C11" s="101" t="s">
        <v>280</v>
      </c>
      <c r="E11" s="140" t="s">
        <v>339</v>
      </c>
      <c r="F11" s="145" t="s">
        <v>340</v>
      </c>
      <c r="G11" s="145" t="s">
        <v>329</v>
      </c>
      <c r="H11" s="145" t="s">
        <v>342</v>
      </c>
      <c r="I11" s="145" t="s">
        <v>343</v>
      </c>
      <c r="J11" s="145" t="s">
        <v>344</v>
      </c>
      <c r="K11" s="145" t="s">
        <v>345</v>
      </c>
      <c r="L11" s="145" t="s">
        <v>346</v>
      </c>
      <c r="M11" s="145" t="s">
        <v>347</v>
      </c>
      <c r="N11" s="145" t="s">
        <v>348</v>
      </c>
      <c r="O11" s="144" t="s">
        <v>272</v>
      </c>
      <c r="P11" s="857" t="s">
        <v>369</v>
      </c>
      <c r="Q11" s="140" t="s">
        <v>350</v>
      </c>
      <c r="R11" s="144" t="s">
        <v>375</v>
      </c>
      <c r="S11" s="719" t="s">
        <v>376</v>
      </c>
      <c r="T11" s="140" t="s">
        <v>351</v>
      </c>
      <c r="U11" s="144" t="s">
        <v>352</v>
      </c>
      <c r="V11" s="1572"/>
      <c r="W11" s="1569"/>
      <c r="X11" s="1569"/>
      <c r="Y11" s="1569"/>
      <c r="Z11" s="1567"/>
      <c r="AA11" s="132" t="s">
        <v>271</v>
      </c>
      <c r="AB11" s="811" t="s">
        <v>271</v>
      </c>
      <c r="AC11" s="752" t="s">
        <v>317</v>
      </c>
      <c r="AD11" s="132" t="s">
        <v>318</v>
      </c>
      <c r="AE11" s="811" t="s">
        <v>377</v>
      </c>
      <c r="AF11" s="811" t="s">
        <v>354</v>
      </c>
      <c r="AG11" s="811" t="s">
        <v>321</v>
      </c>
      <c r="AH11" s="811" t="s">
        <v>322</v>
      </c>
      <c r="AI11" s="752" t="s">
        <v>323</v>
      </c>
      <c r="AJ11" s="132" t="s">
        <v>378</v>
      </c>
      <c r="AK11" s="811" t="s">
        <v>325</v>
      </c>
      <c r="AL11" s="811" t="s">
        <v>379</v>
      </c>
      <c r="AM11" s="752" t="s">
        <v>327</v>
      </c>
      <c r="AN11" s="719" t="s">
        <v>361</v>
      </c>
      <c r="AO11" s="858" t="s">
        <v>358</v>
      </c>
      <c r="AP11" s="1576"/>
      <c r="AQ11" s="1570"/>
      <c r="AR11" s="140" t="s">
        <v>295</v>
      </c>
      <c r="AS11" s="145" t="s">
        <v>296</v>
      </c>
      <c r="AT11" s="43" t="s">
        <v>297</v>
      </c>
      <c r="AU11" s="43" t="s">
        <v>363</v>
      </c>
    </row>
    <row r="12" spans="1:47" x14ac:dyDescent="0.25">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25">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25">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25">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25">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25">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25">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25">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25">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25">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25">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25">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25">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25">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25">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25">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25">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25">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25">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25">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25">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25">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25">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25">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25">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25">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25">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25">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25">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25">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25">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25">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25">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25">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25">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25">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25">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25">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25">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25">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25">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25">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25">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25">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25">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25">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25">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25">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25">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25">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25">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25">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25">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25">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25">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25">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25">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25">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25">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25">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25">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25">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25">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25">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25">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25">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25">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25">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25">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25">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25">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25">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25">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25">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25">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25">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25">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25">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25">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25">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25">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25">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25">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25">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25">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25">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25">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25">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25">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25">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25">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25">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25">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25">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25">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25">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25">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25">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25">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25">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25">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25">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25">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25">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25">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25">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25">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25">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25">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25">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25">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25">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25">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25">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25">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25">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25">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25">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25">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25">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25">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25">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25">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25">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25">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25">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25">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25">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25">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25">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25">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25">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25">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25">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25">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25">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25">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25">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25">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25">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25">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25">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25">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25">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25">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25">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25">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25">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25">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25">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25">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25">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25">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25">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25">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25">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25">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25">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25">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25">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25">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25">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25">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25">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25">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25">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25">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25">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25">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25">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25">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25">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25">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25">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25">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25">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25">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25">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25">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25">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25">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25">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25">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25">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25">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25">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25">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25">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25">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25">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25">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25">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25">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25">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25">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25">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25">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25">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25">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25">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25">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25">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25">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25">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25">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25">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25">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25">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25">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25">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25">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25">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25">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25">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25">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25">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25">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25">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25">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25">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25">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25">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25">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25">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25">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25">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25">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25">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25">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25">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25">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25">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25">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25">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25">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25">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25">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25">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25">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25">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25">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25">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25">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25">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25">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25">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 thickBot="1" x14ac:dyDescent="0.3">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x14ac:dyDescent="0.3">
      <c r="E259" s="34"/>
      <c r="F259" s="34"/>
      <c r="G259" s="34"/>
      <c r="H259" s="34"/>
      <c r="I259" s="34"/>
      <c r="J259" s="34"/>
      <c r="K259" s="34"/>
      <c r="L259" s="34"/>
      <c r="M259" s="34"/>
      <c r="N259" s="34"/>
      <c r="O259" s="34"/>
      <c r="P259" s="34"/>
      <c r="Q259" s="34"/>
      <c r="R259" s="34"/>
      <c r="S259" s="34"/>
      <c r="T259" s="34"/>
      <c r="U259" s="891" t="s">
        <v>329</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25">
      <c r="V260" s="30" t="str">
        <f>IF(V259&lt;&gt;'D-1 Off-Site Habitat Baseline'!W259,"Error - Area of habitat enhancement must match the area from sheet D1 ▲","")</f>
        <v/>
      </c>
    </row>
    <row r="261" spans="1:47" x14ac:dyDescent="0.25"/>
    <row r="262" spans="1:47" x14ac:dyDescent="0.25"/>
    <row r="263" spans="1:47" x14ac:dyDescent="0.25"/>
    <row r="264" spans="1:47" x14ac:dyDescent="0.25"/>
    <row r="265" spans="1:47" x14ac:dyDescent="0.25"/>
    <row r="266" spans="1:47" x14ac:dyDescent="0.25"/>
    <row r="267" spans="1:47" x14ac:dyDescent="0.25"/>
    <row r="268" spans="1:47" x14ac:dyDescent="0.25"/>
    <row r="269" spans="1:47" x14ac:dyDescent="0.25"/>
  </sheetData>
  <sheetProtection algorithmName="SHA-512" hashValue="/Gf1/wgfqzR3gn9nfwteV4SWHJFEejL4cT1R59qwX/gKjybdcLqMu+ZrFlWaFqNuVccQcZy01fRtFxEGnAv/IQ==" saltValue="NAgMbNX6RVTyNOixTtPqvQ=="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T3:U3"/>
    <mergeCell ref="T4:U4"/>
    <mergeCell ref="T5:U5"/>
    <mergeCell ref="R2:U2"/>
    <mergeCell ref="R6:T8"/>
    <mergeCell ref="V10:V11"/>
    <mergeCell ref="AD10:AI10"/>
    <mergeCell ref="AJ10:AM10"/>
    <mergeCell ref="AP10:AP11"/>
    <mergeCell ref="W10:W11"/>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s>
  <conditionalFormatting sqref="O12:O258">
    <cfRule type="beginsWith" dxfId="354" priority="26" operator="beginsWith" text="Same distinctiveness">
      <formula>LEFT(O12,LEN("Same distinctiveness"))="Same distinctiveness"</formula>
    </cfRule>
    <cfRule type="beginsWith" dxfId="353" priority="25" operator="beginsWith" text="Bespoke">
      <formula>LEFT(O12,LEN("Bespoke"))="Bespoke"</formula>
    </cfRule>
    <cfRule type="beginsWith" dxfId="352" priority="28" operator="beginsWith" text="Same Habitat">
      <formula>LEFT(O12,LEN("Same Habitat"))="Same Habitat"</formula>
    </cfRule>
    <cfRule type="beginsWith" dxfId="351" priority="27" operator="beginsWith" text="Same broad">
      <formula>LEFT(O12,LEN("Same broad"))="Same broad"</formula>
    </cfRule>
  </conditionalFormatting>
  <conditionalFormatting sqref="R6:T8">
    <cfRule type="containsText" dxfId="350" priority="6" operator="containsText" text="⚠">
      <formula>NOT(ISERROR(SEARCH("⚠",R6)))</formula>
    </cfRule>
  </conditionalFormatting>
  <conditionalFormatting sqref="T3">
    <cfRule type="containsText" dxfId="349" priority="16" operator="containsText" text="Error">
      <formula>NOT(ISERROR(SEARCH("Error",T3)))</formula>
    </cfRule>
    <cfRule type="containsText" dxfId="348" priority="17" operator="containsText" text="Check">
      <formula>NOT(ISERROR(SEARCH("Check",T3)))</formula>
    </cfRule>
  </conditionalFormatting>
  <conditionalFormatting sqref="T4">
    <cfRule type="containsText" dxfId="347" priority="2" operator="containsText" text="Error">
      <formula>NOT(ISERROR(SEARCH("Error",T4)))</formula>
    </cfRule>
    <cfRule type="containsText" dxfId="346" priority="3" operator="containsText" text="Check">
      <formula>NOT(ISERROR(SEARCH("Check",T4)))</formula>
    </cfRule>
  </conditionalFormatting>
  <conditionalFormatting sqref="T5">
    <cfRule type="containsText" dxfId="345" priority="13" operator="containsText" text="Yes">
      <formula>NOT(ISERROR(SEARCH("Yes",T5)))</formula>
    </cfRule>
    <cfRule type="containsText" dxfId="344" priority="12" operator="containsText" text="No">
      <formula>NOT(ISERROR(SEARCH("No",T5)))</formula>
    </cfRule>
  </conditionalFormatting>
  <conditionalFormatting sqref="T3:U5">
    <cfRule type="containsText" dxfId="343" priority="1" operator="containsText" text="N/A">
      <formula>NOT(ISERROR(SEARCH("N/A",T3)))</formula>
    </cfRule>
  </conditionalFormatting>
  <conditionalFormatting sqref="T4:U4">
    <cfRule type="cellIs" dxfId="342" priority="4" operator="equal">
      <formula>0</formula>
    </cfRule>
    <cfRule type="cellIs" dxfId="341" priority="5" operator="lessThan">
      <formula>0</formula>
    </cfRule>
  </conditionalFormatting>
  <conditionalFormatting sqref="T12:AP258">
    <cfRule type="containsText" dxfId="338" priority="24" operator="containsText" text="Error">
      <formula>NOT(ISERROR(SEARCH("Error",T12)))</formula>
    </cfRule>
  </conditionalFormatting>
  <conditionalFormatting sqref="V260">
    <cfRule type="containsText" dxfId="337" priority="19" operator="containsText" text="Error">
      <formula>NOT(ISERROR(SEARCH("Error",V260)))</formula>
    </cfRule>
  </conditionalFormatting>
  <conditionalFormatting sqref="V2:AA5">
    <cfRule type="containsText" dxfId="336" priority="11" operator="containsText" text="Check">
      <formula>NOT(ISERROR(SEARCH("Check",V2)))</formula>
    </cfRule>
  </conditionalFormatting>
  <conditionalFormatting sqref="Z12:Z258">
    <cfRule type="containsText" dxfId="335" priority="57" operator="containsText" text="Not Possible">
      <formula>NOT(ISERROR(SEARCH("Not Possible",Z12)))</formula>
    </cfRule>
  </conditionalFormatting>
  <conditionalFormatting sqref="Z13:Z258">
    <cfRule type="containsText" dxfId="334" priority="33" operator="containsText" text="Not Possible">
      <formula>NOT(ISERROR(SEARCH("Not Possible",Z13)))</formula>
    </cfRule>
  </conditionalFormatting>
  <conditionalFormatting sqref="AB12:AC258">
    <cfRule type="containsText" dxfId="333" priority="23" operator="containsText" text="Spatial">
      <formula>NOT(ISERROR(SEARCH("Spatial",AB12)))</formula>
    </cfRule>
  </conditionalFormatting>
  <conditionalFormatting sqref="AD2">
    <cfRule type="containsText" dxfId="332" priority="22" operator="containsText" text="Note">
      <formula>NOT(ISERROR(SEARCH("Note",AD2)))</formula>
    </cfRule>
  </conditionalFormatting>
  <conditionalFormatting sqref="AD5">
    <cfRule type="containsText" dxfId="331" priority="18" operator="containsText" text="Change">
      <formula>NOT(ISERROR(SEARCH("Change",AD5)))</formula>
    </cfRule>
  </conditionalFormatting>
  <conditionalFormatting sqref="AD12:AQ258">
    <cfRule type="containsText" dxfId="330" priority="7" operator="containsText" text="Check">
      <formula>NOT(ISERROR(SEARCH("Check",AD12)))</formula>
    </cfRule>
  </conditionalFormatting>
  <conditionalFormatting sqref="AN12:AN258">
    <cfRule type="containsText" dxfId="329" priority="54" operator="containsText" text="Existing Value Not Required">
      <formula>NOT(ISERROR(SEARCH("Existing Value Not Required",AN12)))</formula>
    </cfRule>
    <cfRule type="containsText" dxfId="328" priority="55" operator="containsText" text="Existing Value Required">
      <formula>NOT(ISERROR(SEARCH("Existing Value Required",AN12)))</formula>
    </cfRule>
  </conditionalFormatting>
  <conditionalFormatting sqref="AN13:AN258">
    <cfRule type="containsText" dxfId="327" priority="31" operator="containsText" text="Existing Value Not Required">
      <formula>NOT(ISERROR(SEARCH("Existing Value Not Required",AN13)))</formula>
    </cfRule>
    <cfRule type="containsText" dxfId="326" priority="32" operator="containsText" text="Existing Value Required">
      <formula>NOT(ISERROR(SEARCH("Existing Value Required",AN13)))</formula>
    </cfRule>
  </conditionalFormatting>
  <conditionalFormatting sqref="AO12:AO258">
    <cfRule type="containsText" dxfId="325" priority="20" operator="containsText" text="Spatial">
      <formula>NOT(ISERROR(SEARCH("Spatial",AO12)))</formula>
    </cfRule>
  </conditionalFormatting>
  <conditionalFormatting sqref="AP12:AP258">
    <cfRule type="containsText" dxfId="324" priority="30" operator="containsText" text="Existing Value Required">
      <formula>NOT(ISERROR(SEARCH("Existing Value Required",AP12)))</formula>
    </cfRule>
  </conditionalFormatting>
  <conditionalFormatting sqref="AP12:AQ258">
    <cfRule type="containsText" dxfId="323" priority="9" operator="containsText" text="Existing Value Not Required">
      <formula>NOT(ISERROR(SEARCH("Existing Value Not Required",AP12)))</formula>
    </cfRule>
  </conditionalFormatting>
  <conditionalFormatting sqref="AQ12:AQ258">
    <cfRule type="containsText" dxfId="322" priority="8" operator="containsText" text="Error">
      <formula>NOT(ISERROR(SEARCH("Error",AQ12)))</formula>
    </cfRule>
    <cfRule type="containsText" dxfId="321" priority="10"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2" operator="lessThan" id="{3FC4BA11-E79F-41AE-8528-BD37238A0A58}">
            <xm:f>Start!$F$22</xm:f>
            <x14:dxf>
              <font>
                <color rgb="FF383745"/>
              </font>
              <fill>
                <patternFill>
                  <bgColor rgb="FFFFC000"/>
                </patternFill>
              </fill>
            </x14:dxf>
          </x14:cfRule>
          <x14:cfRule type="cellIs" priority="433"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pane="bottomLeft"/>
    </sheetView>
  </sheetViews>
  <sheetFormatPr defaultColWidth="8.77734375" defaultRowHeight="13.8" x14ac:dyDescent="0.25"/>
  <cols>
    <col min="1" max="1" width="3" style="30" customWidth="1"/>
    <col min="2" max="2" width="11.77734375" style="30" customWidth="1"/>
    <col min="3" max="3" width="12.77734375" style="30" customWidth="1"/>
    <col min="4" max="4" width="62.5546875" style="30" customWidth="1"/>
    <col min="5" max="5" width="10.77734375" style="30" customWidth="1"/>
    <col min="6" max="6" width="19.21875" style="30" customWidth="1"/>
    <col min="7" max="7" width="8.77734375" style="30" hidden="1" customWidth="1"/>
    <col min="8" max="8" width="14.21875" style="30" bestFit="1" customWidth="1"/>
    <col min="9" max="9" width="8.44140625" style="30" hidden="1" customWidth="1"/>
    <col min="10" max="10" width="52.21875" style="30" customWidth="1"/>
    <col min="11" max="11" width="21.44140625" style="30" hidden="1" customWidth="1"/>
    <col min="12" max="12" width="13.21875" style="30" hidden="1" customWidth="1"/>
    <col min="13" max="13" width="20.77734375" style="30" customWidth="1"/>
    <col min="14" max="14" width="13.21875" style="30" customWidth="1"/>
    <col min="15" max="15" width="3.77734375" style="30" customWidth="1"/>
    <col min="16" max="17" width="12" style="30" customWidth="1"/>
    <col min="18" max="18" width="10.21875" style="30" customWidth="1"/>
    <col min="19" max="19" width="12" style="30" customWidth="1"/>
    <col min="20" max="21" width="8.77734375" style="30" customWidth="1"/>
    <col min="22" max="23" width="50.21875" style="30" customWidth="1"/>
    <col min="24" max="24" width="14.44140625" style="30" customWidth="1"/>
    <col min="25" max="25" width="8.77734375" style="30" customWidth="1"/>
    <col min="26" max="26" width="25.21875" style="30" customWidth="1"/>
    <col min="27" max="27" width="11.44140625" style="30" hidden="1" customWidth="1"/>
    <col min="28" max="28" width="21" style="30" hidden="1" customWidth="1"/>
    <col min="29" max="29" width="13.5546875" style="30" hidden="1" customWidth="1"/>
    <col min="30" max="30" width="13.77734375" style="30" hidden="1" customWidth="1"/>
    <col min="31" max="31" width="15" style="30" hidden="1" customWidth="1"/>
    <col min="32" max="32" width="14.21875" style="30" hidden="1" customWidth="1"/>
    <col min="33" max="33" width="11.77734375" style="30" hidden="1" customWidth="1"/>
    <col min="34" max="34" width="15.77734375" style="30" hidden="1" customWidth="1"/>
    <col min="35" max="35" width="12.77734375" style="30" hidden="1" customWidth="1"/>
    <col min="36" max="36" width="16.77734375" style="30" hidden="1" customWidth="1"/>
    <col min="37" max="37" width="15.21875" style="30" hidden="1" customWidth="1"/>
    <col min="38" max="38" width="26.5546875" style="30" hidden="1" customWidth="1"/>
    <col min="39" max="39" width="0" style="30" hidden="1" customWidth="1"/>
    <col min="40" max="16384" width="8.77734375" style="30"/>
  </cols>
  <sheetData>
    <row r="1" spans="2:38" ht="14.4" thickBot="1" x14ac:dyDescent="0.3"/>
    <row r="2" spans="2:38" ht="18" thickBot="1" x14ac:dyDescent="0.35">
      <c r="B2" s="1554" t="str">
        <f>CONCATENATE("Project Name:", " ", Start!F12, "     ", "Map Reference:", " ", Start!F55)</f>
        <v xml:space="preserve">Project Name: Broadfield Park Slopes (‘The Slopes’), The Esplanade, Rochdale, OL16 1AQ     Map Reference: </v>
      </c>
      <c r="C2" s="1555"/>
      <c r="D2" s="1556"/>
      <c r="F2" s="1404" t="s">
        <v>380</v>
      </c>
      <c r="G2" s="1405"/>
      <c r="H2" s="1405"/>
      <c r="I2" s="1405"/>
      <c r="J2" s="1406"/>
    </row>
    <row r="3" spans="2:38" x14ac:dyDescent="0.25">
      <c r="B3" s="1130" t="str">
        <f ca="1">MID(CELL("filename",A1),FIND("]",CELL("filename",A1))+1,256)</f>
        <v>B-1 On-Site Hedge Baseline</v>
      </c>
      <c r="C3" s="1131"/>
      <c r="D3" s="1132"/>
      <c r="F3" s="1505" t="s">
        <v>263</v>
      </c>
      <c r="G3" s="1506"/>
      <c r="H3" s="1506"/>
      <c r="I3" s="1506"/>
      <c r="J3" s="512">
        <f>'Headline Results'!H48</f>
        <v>0</v>
      </c>
    </row>
    <row r="4" spans="2:38" ht="14.4" thickBot="1" x14ac:dyDescent="0.3">
      <c r="B4" s="1133"/>
      <c r="C4" s="1134"/>
      <c r="D4" s="1135"/>
      <c r="F4" s="1583" t="s">
        <v>265</v>
      </c>
      <c r="G4" s="1584"/>
      <c r="H4" s="1584"/>
      <c r="I4" s="1584"/>
      <c r="J4" s="513">
        <f>'Headline Results'!H52</f>
        <v>0</v>
      </c>
    </row>
    <row r="5" spans="2:38" ht="14.4" thickBot="1" x14ac:dyDescent="0.3">
      <c r="F5" s="1582" t="s">
        <v>267</v>
      </c>
      <c r="G5" s="1579"/>
      <c r="H5" s="1579"/>
      <c r="I5" s="1579"/>
      <c r="J5" s="504" t="str" cm="1">
        <f t="array" ref="J5">IF(OR('Trading Summary Hedgerows'!G5:H8="No ▲"), "No - check trading summary ▲", "Yes ✓")</f>
        <v>Yes ✓</v>
      </c>
    </row>
    <row r="7" spans="2:38" ht="14.4" thickBot="1" x14ac:dyDescent="0.3">
      <c r="B7" s="102"/>
      <c r="C7" s="102"/>
      <c r="E7" s="101"/>
    </row>
    <row r="8" spans="2:38" s="33" customFormat="1" ht="28.2" thickBot="1" x14ac:dyDescent="0.3">
      <c r="B8" s="32"/>
      <c r="C8" s="1573" t="s">
        <v>381</v>
      </c>
      <c r="D8" s="1574"/>
      <c r="E8" s="1575"/>
      <c r="F8" s="1552" t="s">
        <v>269</v>
      </c>
      <c r="G8" s="1552"/>
      <c r="H8" s="1552" t="s">
        <v>357</v>
      </c>
      <c r="I8" s="1552"/>
      <c r="J8" s="1552" t="s">
        <v>271</v>
      </c>
      <c r="K8" s="1552"/>
      <c r="L8" s="1552"/>
      <c r="M8" s="1537" t="s">
        <v>272</v>
      </c>
      <c r="N8" s="134" t="s">
        <v>273</v>
      </c>
      <c r="O8" s="30"/>
      <c r="P8" s="1573" t="s">
        <v>274</v>
      </c>
      <c r="Q8" s="1574"/>
      <c r="R8" s="1574"/>
      <c r="S8" s="1574"/>
      <c r="T8" s="1574"/>
      <c r="U8" s="1575"/>
      <c r="V8" s="1573" t="s">
        <v>276</v>
      </c>
      <c r="W8" s="1575"/>
    </row>
    <row r="9" spans="2:38" ht="42" thickBot="1" x14ac:dyDescent="0.3">
      <c r="B9" s="719" t="s">
        <v>339</v>
      </c>
      <c r="C9" s="132" t="s">
        <v>382</v>
      </c>
      <c r="D9" s="811" t="s">
        <v>161</v>
      </c>
      <c r="E9" s="752" t="s">
        <v>34</v>
      </c>
      <c r="F9" s="132" t="s">
        <v>269</v>
      </c>
      <c r="G9" s="752" t="s">
        <v>286</v>
      </c>
      <c r="H9" s="132" t="s">
        <v>270</v>
      </c>
      <c r="I9" s="752" t="s">
        <v>286</v>
      </c>
      <c r="J9" s="132" t="s">
        <v>271</v>
      </c>
      <c r="K9" s="811" t="s">
        <v>271</v>
      </c>
      <c r="L9" s="752" t="s">
        <v>317</v>
      </c>
      <c r="M9" s="1570"/>
      <c r="N9" s="169" t="s">
        <v>383</v>
      </c>
      <c r="P9" s="132" t="s">
        <v>384</v>
      </c>
      <c r="Q9" s="811" t="s">
        <v>385</v>
      </c>
      <c r="R9" s="811" t="s">
        <v>386</v>
      </c>
      <c r="S9" s="811" t="s">
        <v>387</v>
      </c>
      <c r="T9" s="811" t="s">
        <v>388</v>
      </c>
      <c r="U9" s="752" t="s">
        <v>294</v>
      </c>
      <c r="V9" s="170" t="s">
        <v>295</v>
      </c>
      <c r="W9" s="171" t="s">
        <v>296</v>
      </c>
      <c r="X9" s="48" t="s">
        <v>297</v>
      </c>
      <c r="AE9" s="124" t="s">
        <v>300</v>
      </c>
      <c r="AF9" s="124" t="s">
        <v>301</v>
      </c>
      <c r="AH9" s="124" t="s">
        <v>303</v>
      </c>
      <c r="AJ9" s="124" t="s">
        <v>300</v>
      </c>
      <c r="AK9" s="124" t="s">
        <v>301</v>
      </c>
      <c r="AL9" s="101" t="s">
        <v>280</v>
      </c>
    </row>
    <row r="10" spans="2:38" x14ac:dyDescent="0.25">
      <c r="B10" s="104">
        <v>1</v>
      </c>
      <c r="C10" s="842"/>
      <c r="D10" s="812"/>
      <c r="E10" s="860"/>
      <c r="F10" s="815" t="str">
        <f>IF(D10="","",VLOOKUP(D10,'G-6 Hedgerow Data'!$B$2:$AG$15,2,FALSE))</f>
        <v/>
      </c>
      <c r="G10" s="790" t="str">
        <f>IF(D10="","",VLOOKUP(D10,'G-6 Hedgerow Data'!$B$2:$AG$15,3,FALSE))</f>
        <v/>
      </c>
      <c r="H10" s="841"/>
      <c r="I10" s="790" t="str">
        <f>IFERROR(VLOOKUP(H10,'G-1 All Habitats'!$Z$2:$AA$9,2,FALSE),"")</f>
        <v/>
      </c>
      <c r="J10" s="841"/>
      <c r="K10" s="367" t="str">
        <f>IF(J10="","",IF(VLOOKUP(J10,'G-3 Multipliers'!$L$3:$N$6,2,FALSE)=0,"Spatial Data Missing",VLOOKUP(J10,'G-3 Multipliers'!$L$3:$N$6,2,FALSE)))</f>
        <v/>
      </c>
      <c r="L10" s="792" t="str">
        <f>IF(J10="","",IF(VLOOKUP(J10,'G-3 Multipliers'!$L$3:$N$6,3,FALSE)=0,"Spatial Data Missing ⚠",VLOOKUP(J10,'G-3 Multipliers'!$L$3:$N$6,3,FALSE)))</f>
        <v/>
      </c>
      <c r="M10" s="793" t="str">
        <f>IF(D10="","",VLOOKUP(D10,'G-6 Hedgerow Data'!$B$1:$AH$15,33,FALSE))</f>
        <v/>
      </c>
      <c r="N10" s="794" t="str">
        <f>IFERROR(E10*G10*I10*L10,"")</f>
        <v/>
      </c>
      <c r="O10" s="32"/>
      <c r="P10" s="316"/>
      <c r="Q10" s="159"/>
      <c r="R10" s="374" t="str">
        <f>IFERROR(P10*G10*I10*L10,"")</f>
        <v/>
      </c>
      <c r="S10" s="374" t="str">
        <f>IFERROR(Q10*G10*I10*L10,"")</f>
        <v/>
      </c>
      <c r="T10" s="374" t="str">
        <f>IF(D10="","",IF(E10-P10-Q10=0&lt;0,"Error in lengths ▲",IF(P10+Q10&gt;E10,"Error in Lengths ▲",E10-P10-Q10)))</f>
        <v/>
      </c>
      <c r="U10" s="405" t="str">
        <f>IF(OR(E10="",N10=""),"",IF(E10-P10-Q10=0&lt;0,"Error in Lengths ▲",IF(P10+Q10&gt;E10,"Error in Lengths ▲",N10-R10-S10)))</f>
        <v/>
      </c>
      <c r="V10" s="136"/>
      <c r="W10" s="137"/>
      <c r="X10" s="118"/>
      <c r="AE10" s="124" t="str">
        <f t="shared" ref="AE10:AE73" si="0">IF(D10="","",IF(P10&gt;0,TRUE,FALSE))</f>
        <v/>
      </c>
      <c r="AF10" s="124" t="str">
        <f t="shared" ref="AF10:AF73" si="1">IF(D10="","",IF(Q10&gt;0,TRUE,FALSE))</f>
        <v/>
      </c>
      <c r="AH10" s="124">
        <v>1</v>
      </c>
      <c r="AJ10" s="124" t="str">
        <f t="array" ref="AJ10">IFERROR(INDEX($AH$10:$AH$258, MATCH(0, IF(TRUE=$AE$10:$AE$258, COUNTIF($AJ9:$AJ$9, $AH$10:$AH$258), ""), 0)),"")</f>
        <v/>
      </c>
      <c r="AK10" s="124" t="str">
        <f t="array" ref="AK10">IFERROR(INDEX($AH$10:$AH$258, MATCH(0, IF(TRUE=$AF$10:$AF$258, COUNTIF($AK9:$AK$9, $AH$10:$AH$258), ""), 0)),"")</f>
        <v/>
      </c>
      <c r="AL10" s="30" t="str">
        <f>IFERROR(INDEX('G-6 Hedgerow Data'!$BJ$3:$BJ$15,MATCH(D10,'G-6 Hedgerow Data'!$B$3:$B$15,0)),"")</f>
        <v/>
      </c>
    </row>
    <row r="11" spans="2:38" x14ac:dyDescent="0.25">
      <c r="B11" s="110">
        <v>2</v>
      </c>
      <c r="C11" s="165"/>
      <c r="D11" s="63"/>
      <c r="E11" s="139"/>
      <c r="F11" s="411" t="str">
        <f>IF(D11="","",VLOOKUP(D11,'G-6 Hedgerow Data'!$B$2:$AG$15,2,FALSE))</f>
        <v/>
      </c>
      <c r="G11" s="363" t="str">
        <f>IF(D11="","",VLOOKUP(D11,'G-6 Hedgerow Data'!$B$2:$AG$15,3,FALSE))</f>
        <v/>
      </c>
      <c r="H11" s="114"/>
      <c r="I11" s="363" t="str">
        <f>IFERROR(VLOOKUP(H11,'G-1 All Habitats'!$Z$2:$AA$9,2,FALSE),"")</f>
        <v/>
      </c>
      <c r="J11" s="114"/>
      <c r="K11" s="370" t="str">
        <f>IF(J11="","",IF(VLOOKUP(J11,'G-3 Multipliers'!$L$3:$N$6,2,FALSE)=0,"Spatial Data Missing",VLOOKUP(J11,'G-3 Multipliers'!$L$3:$N$6,2,FALSE)))</f>
        <v/>
      </c>
      <c r="L11" s="368" t="str">
        <f>IF(J11="","",IF(VLOOKUP(J11,'G-3 Multipliers'!$L$3:$N$6,3,FALSE)=0,"Spatial Data Missing ⚠",VLOOKUP(J11,'G-3 Multipliers'!$L$3:$N$6,3,FALSE)))</f>
        <v/>
      </c>
      <c r="M11" s="369" t="str">
        <f>IF(D11="","",VLOOKUP(D11,'G-6 Hedgerow Data'!$B$1:$AH$15,33,FALSE))</f>
        <v/>
      </c>
      <c r="N11" s="376" t="str">
        <f t="shared" ref="N11:N74" si="2">IFERROR(E11*G11*I11*L11,"")</f>
        <v/>
      </c>
      <c r="O11" s="32"/>
      <c r="P11" s="582"/>
      <c r="Q11" s="165"/>
      <c r="R11" s="393" t="str">
        <f t="shared" ref="R11:R74" si="3">IFERROR(P11*G11*I11*L11,"")</f>
        <v/>
      </c>
      <c r="S11" s="393" t="str">
        <f t="shared" ref="S11:S74" si="4">IFERROR(Q11*G11*I11*L11,"")</f>
        <v/>
      </c>
      <c r="T11" s="393" t="str">
        <f t="shared" ref="T11:T74" si="5">IF(D11="","",IF(E11-P11-Q11=0&lt;0,"Error in lengths ▲",IF(P11+Q11&gt;E11,"Error in Lengths ▲",E11-P11-Q11)))</f>
        <v/>
      </c>
      <c r="U11" s="415" t="str">
        <f t="shared" ref="U11:U74" si="6">IF(OR(E11="",N11=""),"",IF(E11-P11-Q11=0&lt;0,"Error in Lengths ▲",IF(P11+Q11&gt;E11,"Error in Lengths ▲",N11-R11-S11)))</f>
        <v/>
      </c>
      <c r="V11" s="119"/>
      <c r="W11" s="120"/>
      <c r="X11" s="120"/>
      <c r="AE11" s="124" t="str">
        <f t="shared" si="0"/>
        <v/>
      </c>
      <c r="AF11" s="124" t="str">
        <f t="shared" si="1"/>
        <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
      </c>
    </row>
    <row r="12" spans="2:38" x14ac:dyDescent="0.25">
      <c r="B12" s="110">
        <v>3</v>
      </c>
      <c r="C12" s="165"/>
      <c r="D12" s="63"/>
      <c r="E12" s="139"/>
      <c r="F12" s="411" t="str">
        <f>IF(D12="","",VLOOKUP(D12,'G-6 Hedgerow Data'!$B$2:$AG$15,2,FALSE))</f>
        <v/>
      </c>
      <c r="G12" s="363" t="str">
        <f>IF(D12="","",VLOOKUP(D12,'G-6 Hedgerow Data'!$B$2:$AG$15,3,FALSE))</f>
        <v/>
      </c>
      <c r="H12" s="114"/>
      <c r="I12" s="363" t="str">
        <f>IFERROR(VLOOKUP(H12,'G-1 All Habitats'!$Z$2:$AA$9,2,FALSE),"")</f>
        <v/>
      </c>
      <c r="J12" s="114"/>
      <c r="K12" s="370" t="str">
        <f>IF(J12="","",IF(VLOOKUP(J12,'G-3 Multipliers'!$L$3:$N$6,2,FALSE)=0,"Spatial Data Missing",VLOOKUP(J12,'G-3 Multipliers'!$L$3:$N$6,2,FALSE)))</f>
        <v/>
      </c>
      <c r="L12" s="368" t="str">
        <f>IF(J12="","",IF(VLOOKUP(J12,'G-3 Multipliers'!$L$3:$N$6,3,FALSE)=0,"Spatial Data Missing ⚠",VLOOKUP(J12,'G-3 Multipliers'!$L$3:$N$6,3,FALSE)))</f>
        <v/>
      </c>
      <c r="M12" s="369" t="str">
        <f>IF(D12="","",VLOOKUP(D12,'G-6 Hedgerow Data'!$B$1:$AH$15,33,FALSE))</f>
        <v/>
      </c>
      <c r="N12" s="376" t="str">
        <f t="shared" si="2"/>
        <v/>
      </c>
      <c r="O12" s="32"/>
      <c r="P12" s="582"/>
      <c r="Q12" s="165"/>
      <c r="R12" s="393" t="str">
        <f t="shared" si="3"/>
        <v/>
      </c>
      <c r="S12" s="393" t="str">
        <f t="shared" si="4"/>
        <v/>
      </c>
      <c r="T12" s="393" t="str">
        <f t="shared" si="5"/>
        <v/>
      </c>
      <c r="U12" s="415" t="str">
        <f t="shared" si="6"/>
        <v/>
      </c>
      <c r="V12" s="119"/>
      <c r="W12" s="120"/>
      <c r="X12" s="120"/>
      <c r="AE12" s="124" t="str">
        <f t="shared" si="0"/>
        <v/>
      </c>
      <c r="AF12" s="124" t="str">
        <f t="shared" si="1"/>
        <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
      </c>
    </row>
    <row r="13" spans="2:38" x14ac:dyDescent="0.25">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x14ac:dyDescent="0.25">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x14ac:dyDescent="0.25">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25">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25">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25">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x14ac:dyDescent="0.25">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x14ac:dyDescent="0.25">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x14ac:dyDescent="0.25">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x14ac:dyDescent="0.25">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x14ac:dyDescent="0.25">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x14ac:dyDescent="0.25">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x14ac:dyDescent="0.25">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x14ac:dyDescent="0.25">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x14ac:dyDescent="0.25">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x14ac:dyDescent="0.25">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x14ac:dyDescent="0.25">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x14ac:dyDescent="0.25">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x14ac:dyDescent="0.25">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x14ac:dyDescent="0.25">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x14ac:dyDescent="0.25">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x14ac:dyDescent="0.25">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x14ac:dyDescent="0.25">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x14ac:dyDescent="0.25">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x14ac:dyDescent="0.25">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x14ac:dyDescent="0.25">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x14ac:dyDescent="0.25">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x14ac:dyDescent="0.25">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x14ac:dyDescent="0.25">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x14ac:dyDescent="0.25">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x14ac:dyDescent="0.25">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x14ac:dyDescent="0.25">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x14ac:dyDescent="0.25">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x14ac:dyDescent="0.25">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x14ac:dyDescent="0.25">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x14ac:dyDescent="0.25">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x14ac:dyDescent="0.25">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x14ac:dyDescent="0.25">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x14ac:dyDescent="0.25">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x14ac:dyDescent="0.25">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x14ac:dyDescent="0.25">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x14ac:dyDescent="0.25">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x14ac:dyDescent="0.25">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x14ac:dyDescent="0.25">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x14ac:dyDescent="0.25">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x14ac:dyDescent="0.25">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x14ac:dyDescent="0.25">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x14ac:dyDescent="0.25">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x14ac:dyDescent="0.25">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x14ac:dyDescent="0.25">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x14ac:dyDescent="0.25">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x14ac:dyDescent="0.25">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x14ac:dyDescent="0.25">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x14ac:dyDescent="0.25">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x14ac:dyDescent="0.25">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x14ac:dyDescent="0.25">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x14ac:dyDescent="0.25">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x14ac:dyDescent="0.25">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x14ac:dyDescent="0.25">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x14ac:dyDescent="0.25">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x14ac:dyDescent="0.25">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x14ac:dyDescent="0.25">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x14ac:dyDescent="0.25">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x14ac:dyDescent="0.25">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x14ac:dyDescent="0.25">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x14ac:dyDescent="0.25">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x14ac:dyDescent="0.25">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x14ac:dyDescent="0.25">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x14ac:dyDescent="0.25">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x14ac:dyDescent="0.25">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x14ac:dyDescent="0.25">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x14ac:dyDescent="0.25">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x14ac:dyDescent="0.25">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x14ac:dyDescent="0.25">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x14ac:dyDescent="0.25">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x14ac:dyDescent="0.25">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x14ac:dyDescent="0.25">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x14ac:dyDescent="0.25">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x14ac:dyDescent="0.25">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x14ac:dyDescent="0.25">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x14ac:dyDescent="0.25">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x14ac:dyDescent="0.25">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x14ac:dyDescent="0.25">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x14ac:dyDescent="0.25">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x14ac:dyDescent="0.25">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x14ac:dyDescent="0.25">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x14ac:dyDescent="0.25">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x14ac:dyDescent="0.25">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x14ac:dyDescent="0.25">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x14ac:dyDescent="0.25">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x14ac:dyDescent="0.25">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x14ac:dyDescent="0.25">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x14ac:dyDescent="0.25">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x14ac:dyDescent="0.25">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x14ac:dyDescent="0.25">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x14ac:dyDescent="0.25">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x14ac:dyDescent="0.25">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x14ac:dyDescent="0.25">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x14ac:dyDescent="0.25">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x14ac:dyDescent="0.25">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x14ac:dyDescent="0.25">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x14ac:dyDescent="0.25">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x14ac:dyDescent="0.25">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x14ac:dyDescent="0.25">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x14ac:dyDescent="0.25">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x14ac:dyDescent="0.25">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x14ac:dyDescent="0.25">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x14ac:dyDescent="0.25">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x14ac:dyDescent="0.25">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x14ac:dyDescent="0.25">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x14ac:dyDescent="0.25">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x14ac:dyDescent="0.25">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x14ac:dyDescent="0.25">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x14ac:dyDescent="0.25">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x14ac:dyDescent="0.25">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x14ac:dyDescent="0.25">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x14ac:dyDescent="0.25">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x14ac:dyDescent="0.25">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x14ac:dyDescent="0.25">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x14ac:dyDescent="0.25">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x14ac:dyDescent="0.25">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x14ac:dyDescent="0.25">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x14ac:dyDescent="0.25">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x14ac:dyDescent="0.25">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x14ac:dyDescent="0.25">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x14ac:dyDescent="0.25">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x14ac:dyDescent="0.25">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x14ac:dyDescent="0.25">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x14ac:dyDescent="0.25">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x14ac:dyDescent="0.25">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x14ac:dyDescent="0.25">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x14ac:dyDescent="0.25">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x14ac:dyDescent="0.25">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x14ac:dyDescent="0.25">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x14ac:dyDescent="0.25">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x14ac:dyDescent="0.25">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x14ac:dyDescent="0.25">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x14ac:dyDescent="0.25">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x14ac:dyDescent="0.25">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x14ac:dyDescent="0.25">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x14ac:dyDescent="0.25">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x14ac:dyDescent="0.25">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x14ac:dyDescent="0.25">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x14ac:dyDescent="0.25">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x14ac:dyDescent="0.25">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x14ac:dyDescent="0.25">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x14ac:dyDescent="0.25">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x14ac:dyDescent="0.25">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x14ac:dyDescent="0.25">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x14ac:dyDescent="0.25">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x14ac:dyDescent="0.25">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x14ac:dyDescent="0.25">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x14ac:dyDescent="0.25">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x14ac:dyDescent="0.25">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x14ac:dyDescent="0.25">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x14ac:dyDescent="0.25">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x14ac:dyDescent="0.25">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x14ac:dyDescent="0.25">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x14ac:dyDescent="0.25">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x14ac:dyDescent="0.25">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x14ac:dyDescent="0.25">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x14ac:dyDescent="0.25">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x14ac:dyDescent="0.25">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x14ac:dyDescent="0.25">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x14ac:dyDescent="0.25">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x14ac:dyDescent="0.25">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x14ac:dyDescent="0.25">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x14ac:dyDescent="0.25">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x14ac:dyDescent="0.25">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x14ac:dyDescent="0.25">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x14ac:dyDescent="0.25">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x14ac:dyDescent="0.25">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x14ac:dyDescent="0.25">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x14ac:dyDescent="0.25">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x14ac:dyDescent="0.25">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x14ac:dyDescent="0.25">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x14ac:dyDescent="0.25">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x14ac:dyDescent="0.25">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x14ac:dyDescent="0.25">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x14ac:dyDescent="0.25">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x14ac:dyDescent="0.25">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x14ac:dyDescent="0.25">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x14ac:dyDescent="0.25">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x14ac:dyDescent="0.25">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x14ac:dyDescent="0.25">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x14ac:dyDescent="0.25">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x14ac:dyDescent="0.25">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x14ac:dyDescent="0.25">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x14ac:dyDescent="0.25">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x14ac:dyDescent="0.25">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x14ac:dyDescent="0.25">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x14ac:dyDescent="0.25">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x14ac:dyDescent="0.25">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x14ac:dyDescent="0.25">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x14ac:dyDescent="0.25">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x14ac:dyDescent="0.25">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x14ac:dyDescent="0.25">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x14ac:dyDescent="0.25">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x14ac:dyDescent="0.25">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x14ac:dyDescent="0.25">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x14ac:dyDescent="0.25">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x14ac:dyDescent="0.25">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x14ac:dyDescent="0.25">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x14ac:dyDescent="0.25">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x14ac:dyDescent="0.25">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x14ac:dyDescent="0.25">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x14ac:dyDescent="0.25">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x14ac:dyDescent="0.25">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x14ac:dyDescent="0.25">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x14ac:dyDescent="0.25">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x14ac:dyDescent="0.25">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x14ac:dyDescent="0.25">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x14ac:dyDescent="0.25">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x14ac:dyDescent="0.25">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x14ac:dyDescent="0.25">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x14ac:dyDescent="0.25">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x14ac:dyDescent="0.25">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x14ac:dyDescent="0.25">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x14ac:dyDescent="0.25">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x14ac:dyDescent="0.25">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x14ac:dyDescent="0.25">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x14ac:dyDescent="0.25">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x14ac:dyDescent="0.25">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x14ac:dyDescent="0.25">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x14ac:dyDescent="0.25">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x14ac:dyDescent="0.25">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x14ac:dyDescent="0.25">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x14ac:dyDescent="0.25">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x14ac:dyDescent="0.25">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x14ac:dyDescent="0.25">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x14ac:dyDescent="0.25">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x14ac:dyDescent="0.25">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x14ac:dyDescent="0.25">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x14ac:dyDescent="0.25">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x14ac:dyDescent="0.25">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x14ac:dyDescent="0.25">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x14ac:dyDescent="0.25">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x14ac:dyDescent="0.25">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x14ac:dyDescent="0.25">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x14ac:dyDescent="0.25">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x14ac:dyDescent="0.25">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x14ac:dyDescent="0.25">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x14ac:dyDescent="0.25">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x14ac:dyDescent="0.25">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 thickBot="1" x14ac:dyDescent="0.3">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 thickBot="1" x14ac:dyDescent="0.3">
      <c r="D258" s="859"/>
      <c r="E258" s="412">
        <f>SUM(E10:E257)</f>
        <v>0</v>
      </c>
      <c r="M258" s="859"/>
      <c r="N258" s="414">
        <f>SUM(N10:N257)</f>
        <v>0</v>
      </c>
      <c r="O258" s="133"/>
      <c r="P258" s="379">
        <f t="shared" ref="P258:U258" si="28">SUM(P10:P257)</f>
        <v>0</v>
      </c>
      <c r="Q258" s="380">
        <f t="shared" si="28"/>
        <v>0</v>
      </c>
      <c r="R258" s="380" cm="1">
        <f t="array" ref="R258">IF(OR(T10:T257="Error in Lengths ▲", R10:R27 = "Error"), "Error ▲", SUM(R10:R257))</f>
        <v>0</v>
      </c>
      <c r="S258" s="380" cm="1">
        <f t="array" ref="S258">IF(OR(T10:T257="Error in lengths ▲",S10:S257="Error"),"Error ▲",SUM(S10:S257))</f>
        <v>0</v>
      </c>
      <c r="T258" s="380">
        <f t="shared" si="28"/>
        <v>0</v>
      </c>
      <c r="U258" s="377">
        <f t="shared" si="28"/>
        <v>0</v>
      </c>
    </row>
    <row r="259" spans="2:38" x14ac:dyDescent="0.25">
      <c r="O259" s="133"/>
      <c r="P259" s="133"/>
      <c r="Q259" s="133"/>
      <c r="R259" s="133"/>
      <c r="S259" s="133"/>
      <c r="T259" s="133"/>
      <c r="U259" s="133"/>
    </row>
    <row r="260" spans="2:38" x14ac:dyDescent="0.25">
      <c r="B260" s="102"/>
      <c r="C260" s="102"/>
    </row>
    <row r="261" spans="2:38" x14ac:dyDescent="0.25">
      <c r="B261" s="102"/>
      <c r="C261" s="102"/>
    </row>
    <row r="262" spans="2:38" x14ac:dyDescent="0.25">
      <c r="B262" s="102"/>
      <c r="C262" s="102"/>
    </row>
    <row r="263" spans="2:38" x14ac:dyDescent="0.25">
      <c r="B263" s="102"/>
      <c r="C263" s="102"/>
    </row>
    <row r="264" spans="2:38" x14ac:dyDescent="0.25">
      <c r="B264" s="102"/>
      <c r="C264" s="102"/>
    </row>
  </sheetData>
  <sheetProtection algorithmName="SHA-512" hashValue="EjuQ9zO0j9ttgJdItCJ8L51aqZ7OCL3+Mk9659Fwt7hsCl1uonuWw5f5jSo0QjSjmZdQKgLSUVJ4A10TiYzs4w==" saltValue="d8U0DrxCQHw+KWGkGt0HL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20" priority="7" operator="containsText" text="Not possible">
      <formula>NOT(ISERROR(SEARCH("Not possible",I10)))</formula>
    </cfRule>
  </conditionalFormatting>
  <conditionalFormatting sqref="J3:J4">
    <cfRule type="containsText" dxfId="319" priority="2" operator="containsText" text="Error">
      <formula>NOT(ISERROR(SEARCH("Error",J3)))</formula>
    </cfRule>
    <cfRule type="containsText" dxfId="318" priority="3" operator="containsText" text="Check">
      <formula>NOT(ISERROR(SEARCH("Check",J3)))</formula>
    </cfRule>
  </conditionalFormatting>
  <conditionalFormatting sqref="J3:J5">
    <cfRule type="containsText" dxfId="317" priority="1" operator="containsText" text="N/A">
      <formula>NOT(ISERROR(SEARCH("N/A",J3)))</formula>
    </cfRule>
  </conditionalFormatting>
  <conditionalFormatting sqref="J4">
    <cfRule type="cellIs" dxfId="316" priority="4" operator="equal">
      <formula>0</formula>
    </cfRule>
    <cfRule type="cellIs" dxfId="315" priority="5" operator="lessThan">
      <formula>0</formula>
    </cfRule>
  </conditionalFormatting>
  <conditionalFormatting sqref="J5">
    <cfRule type="containsText" dxfId="312" priority="8" operator="containsText" text="No">
      <formula>NOT(ISERROR(SEARCH("No",J5)))</formula>
    </cfRule>
    <cfRule type="containsText" dxfId="311" priority="9" operator="containsText" text="Yes">
      <formula>NOT(ISERROR(SEARCH("Yes",J5)))</formula>
    </cfRule>
  </conditionalFormatting>
  <conditionalFormatting sqref="K10:L257">
    <cfRule type="containsText" dxfId="310" priority="22" operator="containsText" text="Spatial">
      <formula>NOT(ISERROR(SEARCH("Spatial",K10)))</formula>
    </cfRule>
  </conditionalFormatting>
  <conditionalFormatting sqref="M10:M257">
    <cfRule type="cellIs" dxfId="309" priority="25" operator="equal">
      <formula>"Like for like or better"</formula>
    </cfRule>
    <cfRule type="cellIs" dxfId="308" priority="26" operator="equal">
      <formula>"Like for like"</formula>
    </cfRule>
    <cfRule type="containsText" dxfId="307" priority="27" operator="containsText" text="Same distinctiveness">
      <formula>NOT(ISERROR(SEARCH("Same distinctiveness",M10)))</formula>
    </cfRule>
  </conditionalFormatting>
  <conditionalFormatting sqref="R258:S258">
    <cfRule type="containsText" dxfId="306" priority="6" operator="containsText" text="Error">
      <formula>NOT(ISERROR(SEARCH("Error",R258)))</formula>
    </cfRule>
  </conditionalFormatting>
  <conditionalFormatting sqref="T10:U257">
    <cfRule type="containsText" dxfId="305" priority="20"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4" operator="lessThan" id="{B1ACE558-59E3-4CD1-B5A8-4EB8AA7004D8}">
            <xm:f>Start!$F$22</xm:f>
            <x14:dxf>
              <font>
                <color rgb="FF383745"/>
              </font>
              <fill>
                <patternFill>
                  <bgColor rgb="FFFFC000"/>
                </patternFill>
              </fill>
            </x14:dxf>
          </x14:cfRule>
          <x14:cfRule type="cellIs" priority="435"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4.21875" style="30" customWidth="1"/>
    <col min="3" max="3" width="10.5546875" style="30" customWidth="1"/>
    <col min="4" max="4" width="62.77734375" style="30" customWidth="1"/>
    <col min="5" max="5" width="10.44140625" style="30" customWidth="1"/>
    <col min="6" max="6" width="18.77734375" style="30" customWidth="1"/>
    <col min="7" max="7" width="10.5546875" style="30" customWidth="1"/>
    <col min="8" max="8" width="12.5546875" style="30" bestFit="1" customWidth="1"/>
    <col min="9" max="9" width="8.77734375" style="30" customWidth="1"/>
    <col min="10" max="10" width="41.77734375" style="30" customWidth="1"/>
    <col min="11" max="11" width="16.77734375" style="30" customWidth="1"/>
    <col min="12" max="12" width="12.77734375" style="30" customWidth="1"/>
    <col min="13" max="13" width="19.44140625" style="30" customWidth="1"/>
    <col min="14" max="14" width="16.44140625" style="30" customWidth="1"/>
    <col min="15" max="15" width="21.77734375" style="30" customWidth="1"/>
    <col min="16" max="16" width="33.21875" style="30" customWidth="1"/>
    <col min="17" max="17" width="19.21875" style="30" customWidth="1"/>
    <col min="18" max="18" width="15.21875" style="30" customWidth="1"/>
    <col min="19" max="19" width="13.44140625" style="30" customWidth="1"/>
    <col min="20" max="20" width="18.44140625" style="30" customWidth="1"/>
    <col min="21" max="21" width="13.77734375" style="30" customWidth="1"/>
    <col min="22" max="22" width="11.77734375" style="30" customWidth="1"/>
    <col min="23" max="23" width="12.77734375" style="30" customWidth="1"/>
    <col min="24" max="24" width="42.44140625" style="30" customWidth="1"/>
    <col min="25" max="25" width="43.21875" style="30" customWidth="1"/>
    <col min="26" max="26" width="12.77734375" style="30" customWidth="1"/>
    <col min="27" max="31" width="8.77734375" style="30" customWidth="1"/>
    <col min="32" max="32" width="8.77734375" style="30" hidden="1" customWidth="1"/>
    <col min="33" max="33" width="15.77734375" style="30" hidden="1" customWidth="1"/>
    <col min="34" max="16384" width="8.77734375" style="30" hidden="1"/>
  </cols>
  <sheetData>
    <row r="1" spans="2:33" ht="15.75" customHeight="1" thickBot="1" x14ac:dyDescent="0.3"/>
    <row r="2" spans="2:33" ht="21.6" customHeight="1" thickBot="1" x14ac:dyDescent="0.35">
      <c r="B2" s="1554" t="str">
        <f>CONCATENATE("Project Name:", " ", Start!F12, "     ", "Map Reference:", " ", Start!K55)</f>
        <v xml:space="preserve">Project Name: Broadfield Park Slopes (‘The Slopes’), The Esplanade, Rochdale, OL16 1AQ     Map Reference: </v>
      </c>
      <c r="C2" s="1555"/>
      <c r="D2" s="1556"/>
      <c r="F2" s="1404" t="s">
        <v>380</v>
      </c>
      <c r="G2" s="1405"/>
      <c r="H2" s="1405"/>
      <c r="I2" s="1405"/>
      <c r="J2" s="1406"/>
    </row>
    <row r="3" spans="2:33" ht="15" customHeight="1" x14ac:dyDescent="0.25">
      <c r="B3" s="1512" t="str">
        <f ca="1">MID(CELL("filename",A1),FIND("]",CELL("filename",A1))+1,256)</f>
        <v>B-2 On-Site Hedge Creation</v>
      </c>
      <c r="C3" s="1513"/>
      <c r="D3" s="1514"/>
      <c r="F3" s="1505" t="s">
        <v>263</v>
      </c>
      <c r="G3" s="1506"/>
      <c r="H3" s="1506"/>
      <c r="I3" s="1501">
        <f>'Headline Results'!H48</f>
        <v>0</v>
      </c>
      <c r="J3" s="1502"/>
      <c r="M3" s="1463" t="str">
        <f>IF(OR(COUNTIF($M$12:M259,"*30+*")&gt;0,COUNTIF($Q$12:Q259,"*30+*")&gt;0),"Note; Habitat selected has a time to target condition greater than 30 years. Non standard agreement may be required. ⚠","")</f>
        <v/>
      </c>
      <c r="N3" s="1463"/>
      <c r="O3" s="1463"/>
      <c r="P3" s="1463"/>
      <c r="Q3" s="1463"/>
      <c r="R3" s="1463"/>
    </row>
    <row r="4" spans="2:33" ht="15.75" customHeight="1" thickBot="1" x14ac:dyDescent="0.3">
      <c r="B4" s="1515"/>
      <c r="C4" s="1516"/>
      <c r="D4" s="1517"/>
      <c r="F4" s="1583" t="s">
        <v>265</v>
      </c>
      <c r="G4" s="1584"/>
      <c r="H4" s="1584"/>
      <c r="I4" s="1577">
        <f>'Headline Results'!H52</f>
        <v>0</v>
      </c>
      <c r="J4" s="1578"/>
      <c r="M4" s="1463"/>
      <c r="N4" s="1463"/>
      <c r="O4" s="1463"/>
      <c r="P4" s="1463"/>
      <c r="Q4" s="1463"/>
      <c r="R4" s="1463"/>
    </row>
    <row r="5" spans="2:33" ht="15.75" customHeight="1" thickBot="1" x14ac:dyDescent="0.3">
      <c r="F5" s="1582" t="s">
        <v>267</v>
      </c>
      <c r="G5" s="1579"/>
      <c r="H5" s="1579"/>
      <c r="I5" s="1579" t="str" cm="1">
        <f t="array" ref="I5">IF(OR('Trading Summary Hedgerows'!G5:H8="No ▲"), "No - check trading summary ▲", "Yes ✓")</f>
        <v>Yes ✓</v>
      </c>
      <c r="J5" s="1580"/>
      <c r="M5" s="1463"/>
      <c r="N5" s="1463"/>
      <c r="O5" s="1463"/>
      <c r="P5" s="1463"/>
      <c r="Q5" s="1463"/>
      <c r="R5" s="1463"/>
    </row>
    <row r="6" spans="2:33" ht="15.75" customHeight="1" x14ac:dyDescent="0.25">
      <c r="M6" s="312"/>
      <c r="N6" s="312"/>
      <c r="O6" s="312"/>
      <c r="P6" s="312"/>
      <c r="Q6" s="312"/>
    </row>
    <row r="7" spans="2:33" ht="15.75" customHeight="1" x14ac:dyDescent="0.25">
      <c r="B7" s="102"/>
      <c r="C7" s="102"/>
      <c r="M7" s="312"/>
      <c r="N7" s="312"/>
      <c r="O7" s="312"/>
      <c r="P7" s="312"/>
      <c r="Q7" s="312"/>
    </row>
    <row r="8" spans="2:33" ht="13.8" x14ac:dyDescent="0.25"/>
    <row r="9" spans="2:33" ht="19.95" customHeight="1" thickBot="1" x14ac:dyDescent="0.3"/>
    <row r="10" spans="2:33" ht="44.1" customHeight="1" thickBot="1" x14ac:dyDescent="0.3">
      <c r="B10" s="102"/>
      <c r="C10" s="102"/>
      <c r="D10" s="1573" t="s">
        <v>389</v>
      </c>
      <c r="E10" s="1575"/>
      <c r="F10" s="1573" t="s">
        <v>269</v>
      </c>
      <c r="G10" s="1575"/>
      <c r="H10" s="1573" t="s">
        <v>357</v>
      </c>
      <c r="I10" s="1575"/>
      <c r="J10" s="1573" t="s">
        <v>271</v>
      </c>
      <c r="K10" s="1574"/>
      <c r="L10" s="1575"/>
      <c r="M10" s="1573" t="s">
        <v>314</v>
      </c>
      <c r="N10" s="1574"/>
      <c r="O10" s="1574"/>
      <c r="P10" s="1574"/>
      <c r="Q10" s="1574"/>
      <c r="R10" s="1575"/>
      <c r="S10" s="1573" t="s">
        <v>337</v>
      </c>
      <c r="T10" s="1574"/>
      <c r="U10" s="1574"/>
      <c r="V10" s="1575"/>
      <c r="W10" s="1537" t="s">
        <v>390</v>
      </c>
      <c r="X10" s="1564" t="s">
        <v>276</v>
      </c>
      <c r="Y10" s="1561"/>
    </row>
    <row r="11" spans="2:33" ht="55.8" thickBot="1" x14ac:dyDescent="0.3">
      <c r="B11" s="140" t="s">
        <v>339</v>
      </c>
      <c r="C11" s="144" t="s">
        <v>391</v>
      </c>
      <c r="D11" s="132" t="s">
        <v>33</v>
      </c>
      <c r="E11" s="861" t="s">
        <v>34</v>
      </c>
      <c r="F11" s="862" t="s">
        <v>269</v>
      </c>
      <c r="G11" s="752" t="s">
        <v>286</v>
      </c>
      <c r="H11" s="132" t="s">
        <v>270</v>
      </c>
      <c r="I11" s="752" t="s">
        <v>286</v>
      </c>
      <c r="J11" s="132" t="s">
        <v>271</v>
      </c>
      <c r="K11" s="811" t="s">
        <v>271</v>
      </c>
      <c r="L11" s="752" t="s">
        <v>317</v>
      </c>
      <c r="M11" s="132" t="s">
        <v>392</v>
      </c>
      <c r="N11" s="811" t="s">
        <v>319</v>
      </c>
      <c r="O11" s="811" t="s">
        <v>320</v>
      </c>
      <c r="P11" s="811" t="s">
        <v>321</v>
      </c>
      <c r="Q11" s="811" t="s">
        <v>322</v>
      </c>
      <c r="R11" s="752" t="s">
        <v>323</v>
      </c>
      <c r="S11" s="132" t="s">
        <v>324</v>
      </c>
      <c r="T11" s="811" t="s">
        <v>1679</v>
      </c>
      <c r="U11" s="811" t="s">
        <v>326</v>
      </c>
      <c r="V11" s="752" t="s">
        <v>327</v>
      </c>
      <c r="W11" s="1570"/>
      <c r="X11" s="126" t="s">
        <v>295</v>
      </c>
      <c r="Y11" s="861" t="s">
        <v>296</v>
      </c>
      <c r="Z11" s="48" t="s">
        <v>297</v>
      </c>
      <c r="AG11" s="101" t="s">
        <v>280</v>
      </c>
    </row>
    <row r="12" spans="2:33" ht="13.8" x14ac:dyDescent="0.25">
      <c r="B12" s="291">
        <v>1</v>
      </c>
      <c r="C12" s="166"/>
      <c r="D12" s="63"/>
      <c r="E12" s="53"/>
      <c r="F12" s="411" t="str">
        <f>IF(D12="","",VLOOKUP(D12,'G-6 Hedgerow Data'!$B$2:$AG$15,2,FALSE))</f>
        <v/>
      </c>
      <c r="G12" s="363" t="str">
        <f>IF(D12="","",VLOOKUP(D12,'G-6 Hedgerow Data'!$B$2:$AG$15,3,FALSE))</f>
        <v/>
      </c>
      <c r="H12" s="114"/>
      <c r="I12" s="363" t="str">
        <f>IFERROR(VLOOKUP(H12,'G-1 All Habitats'!$Z$2:$AA$9,2,FALSE),"")</f>
        <v/>
      </c>
      <c r="J12" s="114"/>
      <c r="K12" s="370" t="str">
        <f>IF(J12="","",IF(VLOOKUP(J12,'G-3 Multipliers'!$L$3:$N$6,2,FALSE)=0,"Spatial Data Missing ⚠",VLOOKUP(J12,'G-3 Multipliers'!$L$3:$N$6,2,FALSE)))</f>
        <v/>
      </c>
      <c r="L12" s="368" t="str">
        <f>IF(J12="","",IF(VLOOKUP(J12,'G-3 Multipliers'!$L$3:$N$6,3,FALSE)=0,"Spatial Data Missing ⚠",VLOOKUP(J12,'G-3 Multipliers'!$L$3:$N$6,3,FALSE)))</f>
        <v/>
      </c>
      <c r="M12" s="362" t="str">
        <f>IF(OR(D12="",H12=""),"",(INDEX('G-6 Hedgerow Data'!$E$3:$I$15,MATCH(D12,'G-6 Hedgerow Data'!$B$3:$B$15,0),MATCH(H12,'G-6 Hedgerow Data'!$E$2:$I$2,0))))</f>
        <v/>
      </c>
      <c r="N12" s="159"/>
      <c r="O12" s="159"/>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383" t="str">
        <f>IF(M12="","",IF(P12="Error -both advance and delayed habitat creation ▲","Check Data ⚠",IF(OR(N12="30+",N12="Habitat already in target condition"),0,IF(O12="30+","30+",IF(AND(M12="30+",OR(N12="",N12=0)),"30+",IF(AND(M12="30+",N12&gt;0),30-N12,IF(M12+O12&gt;30,"30+",IF(M12+O12-N12&gt;0,M12+O12-N12,IF(M12-N12&lt;0,0,M12+O12-N12)))))))))</f>
        <v/>
      </c>
      <c r="R12" s="384" t="str">
        <f t="shared" ref="R12:R75" si="0">IF(M12="","",IF(Q12="Check Data ⚠","Check Data ⚠",VLOOKUP(Q12,TemporalMultipliers,3,FALSE)))</f>
        <v/>
      </c>
      <c r="S12" s="362" t="str">
        <f>IF(D12="","",VLOOKUP(D12,'G-6 Hedgerow Data'!$B$3:$AG$15,31,FALSE))</f>
        <v/>
      </c>
      <c r="T12" s="370" t="str">
        <f>IF(D12="","",IF(Q12="Check Data ⚠","Check Data ⚠",IF(H12="","",IF($P12="Check details - Is there evidence that habitat has reached target condition? ⚠","Low Difficulty - only applicable if all habitat created before losses ⚠","Standard difficulty applied"))))</f>
        <v/>
      </c>
      <c r="U12" s="370" t="str">
        <f>(IF(AND(T12="Standard difficulty applied",M12&gt;N12),S12,IF(AND(T12="Low Difficulty - only applicable if all habitat created before losses ⚠",Q12&lt;=0),"Low",S12)))</f>
        <v/>
      </c>
      <c r="V12" s="363" t="str">
        <f>IF(D12="","",VLOOKUP(S12,'G-3 Multipliers'!$P$3:$Q$6,2,FALSE))</f>
        <v/>
      </c>
      <c r="W12" s="390" t="str">
        <f>IFERROR(E12*G12*I12*L12*R12*V12,"")</f>
        <v/>
      </c>
      <c r="X12" s="117"/>
      <c r="Y12" s="118"/>
      <c r="Z12" s="118"/>
      <c r="AG12" s="30" t="str">
        <f>IFERROR(INDEX('G-6 Hedgerow Data'!$BJ$3:$BJ$15,MATCH(D12,'G-6 Hedgerow Data'!$B$3:$B$15,0)),"")</f>
        <v/>
      </c>
    </row>
    <row r="13" spans="2:33" ht="13.8" x14ac:dyDescent="0.25">
      <c r="B13" s="110">
        <v>2</v>
      </c>
      <c r="C13" s="166"/>
      <c r="D13" s="63"/>
      <c r="E13" s="53"/>
      <c r="F13" s="411" t="str">
        <f>IF(D13="","",VLOOKUP(D13,'G-6 Hedgerow Data'!$B$2:$AG$15,2,FALSE))</f>
        <v/>
      </c>
      <c r="G13" s="363" t="str">
        <f>IF(D13="","",VLOOKUP(D13,'G-6 Hedgerow Data'!$B$2:$AG$15,3,FALSE))</f>
        <v/>
      </c>
      <c r="H13" s="114"/>
      <c r="I13" s="363" t="str">
        <f>IFERROR(VLOOKUP(H13,'G-1 All Habitats'!$Z$2:$AA$9,2,FALSE),"")</f>
        <v/>
      </c>
      <c r="J13" s="114"/>
      <c r="K13" s="382" t="str">
        <f>IF(J13="","",IF(VLOOKUP(J13,'G-3 Multipliers'!$L$3:$N$6,2,FALSE)=0,"Spatial Data Missing ⚠",VLOOKUP(J13,'G-3 Multipliers'!$L$3:$N$6,2,FALSE)))</f>
        <v/>
      </c>
      <c r="L13" s="368" t="str">
        <f>IF(J13="","",IF(VLOOKUP(J13,'G-3 Multipliers'!$L$3:$N$6,3,FALSE)=0,"Spatial Data Missing ⚠",VLOOKUP(J13,'G-3 Multipliers'!$L$3:$N$6,3,FALSE)))</f>
        <v/>
      </c>
      <c r="M13" s="362" t="str">
        <f>IF(OR(D13="",H13=""),"",(INDEX('G-6 Hedgerow Data'!$E$3:$I$15,MATCH(D13,'G-6 Hedgerow Data'!$B$3:$B$15,0),MATCH(H13,'G-6 Hedgerow Data'!$E$2:$I$2,0))))</f>
        <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383" t="str">
        <f t="shared" ref="Q13:Q76" si="2">IF(M13="","",IF(P13="Error -both advance and delayed habitat creation ▲","Check Data ⚠",IF(OR(N13="30+",N13="Habitat already in target condition"),0,IF(O13="30+","30+",IF(AND(M13="30+",OR(N13="",N13=0)),"30+",IF(AND(M13="30+",N13&gt;0),30-N13,IF(M13+O13&gt;30,"30+",IF(M13+O13-N13&gt;0,M13+O13-N13,IF(M13-N13&lt;0,0,M13+O13-N13)))))))))</f>
        <v/>
      </c>
      <c r="R13" s="384" t="str">
        <f t="shared" si="0"/>
        <v/>
      </c>
      <c r="S13" s="398" t="str">
        <f>IF(D13="","",VLOOKUP(D13,'G-6 Hedgerow Data'!$B$3:$AG$15,31,FALSE))</f>
        <v/>
      </c>
      <c r="T13" s="370" t="str">
        <f t="shared" ref="T13:T76" si="3">IF(D13="","",IF(Q13="Check Data ⚠","Check Data ⚠",IF(H13="","",IF($P13="Check details - Is there evidence that habitat has reached target condition? ⚠","Low Difficulty - only applicable if all habitat created before losses ⚠","Standard difficulty applied"))))</f>
        <v/>
      </c>
      <c r="U13" s="370" t="str">
        <f t="shared" ref="U13:U76" si="4">(IF(AND(T13="Standard difficulty applied",M13&gt;N13),S13,IF(AND(T13="Low Difficulty - only applicable if all habitat created before losses ⚠",Q13&lt;=0),"Low",S13)))</f>
        <v/>
      </c>
      <c r="V13" s="386" t="str">
        <f>IF(D13="","",VLOOKUP(S13,'G-3 Multipliers'!$P$3:$Q$6,2,FALSE))</f>
        <v/>
      </c>
      <c r="W13" s="390" t="str">
        <f t="shared" ref="W13:W76" si="5">IFERROR(E13*G13*I13*L13*R13*V13,"")</f>
        <v/>
      </c>
      <c r="X13" s="117"/>
      <c r="Y13" s="118"/>
      <c r="Z13" s="120"/>
      <c r="AG13" s="30" t="str">
        <f>IFERROR(INDEX('G-6 Hedgerow Data'!$BJ$3:$BJ$15,MATCH(D13,'G-6 Hedgerow Data'!$B$3:$B$15,0)),"")</f>
        <v/>
      </c>
    </row>
    <row r="14" spans="2:33" ht="13.8" x14ac:dyDescent="0.25">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3.8" x14ac:dyDescent="0.25">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3.8" x14ac:dyDescent="0.25">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3.8" x14ac:dyDescent="0.25">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3.8" x14ac:dyDescent="0.25">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3.8" x14ac:dyDescent="0.25">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3.8" x14ac:dyDescent="0.25">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3.8" x14ac:dyDescent="0.25">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3.8" x14ac:dyDescent="0.25">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3.8" x14ac:dyDescent="0.25">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3.8" x14ac:dyDescent="0.25">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3.8" x14ac:dyDescent="0.25">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3.8" x14ac:dyDescent="0.25">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3.8" x14ac:dyDescent="0.25">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3.8" x14ac:dyDescent="0.25">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3.8" x14ac:dyDescent="0.25">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3.8" x14ac:dyDescent="0.25">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3.8" x14ac:dyDescent="0.25">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3.8" x14ac:dyDescent="0.25">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3.8" x14ac:dyDescent="0.25">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3.8" x14ac:dyDescent="0.25">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3.8" x14ac:dyDescent="0.25">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3.8" x14ac:dyDescent="0.25">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3.8" x14ac:dyDescent="0.25">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3.8" x14ac:dyDescent="0.25">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3.8" x14ac:dyDescent="0.25">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3.8" x14ac:dyDescent="0.25">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3.8" x14ac:dyDescent="0.25">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3.8" x14ac:dyDescent="0.25">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3.8" x14ac:dyDescent="0.25">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3.8" x14ac:dyDescent="0.25">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3.8" x14ac:dyDescent="0.25">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3.8" x14ac:dyDescent="0.25">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3.8" x14ac:dyDescent="0.25">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3.8" x14ac:dyDescent="0.25">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3.8" x14ac:dyDescent="0.25">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3.8" x14ac:dyDescent="0.25">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3.8" x14ac:dyDescent="0.25">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3.8" x14ac:dyDescent="0.25">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3.8" x14ac:dyDescent="0.25">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3.8" x14ac:dyDescent="0.25">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3.8" x14ac:dyDescent="0.25">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3.8" x14ac:dyDescent="0.25">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3.8" x14ac:dyDescent="0.25">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3.8" x14ac:dyDescent="0.25">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3.8" x14ac:dyDescent="0.25">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3.8" x14ac:dyDescent="0.25">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3.8" x14ac:dyDescent="0.25">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3.8" x14ac:dyDescent="0.25">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3.8" x14ac:dyDescent="0.25">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3.8" x14ac:dyDescent="0.25">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3.8" x14ac:dyDescent="0.25">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3.8" x14ac:dyDescent="0.25">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3.8" x14ac:dyDescent="0.25">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3.8" x14ac:dyDescent="0.25">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3.8" x14ac:dyDescent="0.25">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3.8" x14ac:dyDescent="0.25">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3.8" x14ac:dyDescent="0.25">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3.8" x14ac:dyDescent="0.25">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3.8" x14ac:dyDescent="0.25">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3.8" x14ac:dyDescent="0.25">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3.8" x14ac:dyDescent="0.25">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3.8" x14ac:dyDescent="0.25">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3.8" x14ac:dyDescent="0.25">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3.8" x14ac:dyDescent="0.25">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3.8" x14ac:dyDescent="0.25">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3.8" x14ac:dyDescent="0.25">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3.8" x14ac:dyDescent="0.25">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3.8" x14ac:dyDescent="0.25">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3.8" x14ac:dyDescent="0.25">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3.8" x14ac:dyDescent="0.25">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3.8" x14ac:dyDescent="0.25">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3.8" x14ac:dyDescent="0.25">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3.8" x14ac:dyDescent="0.25">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3.8" x14ac:dyDescent="0.25">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3.8" x14ac:dyDescent="0.25">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3.8" x14ac:dyDescent="0.25">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3.8" x14ac:dyDescent="0.25">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3.8" x14ac:dyDescent="0.25">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3.8" x14ac:dyDescent="0.25">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3.8" x14ac:dyDescent="0.25">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3.8" x14ac:dyDescent="0.25">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3.8" x14ac:dyDescent="0.25">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3.8" x14ac:dyDescent="0.25">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3.8" x14ac:dyDescent="0.25">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3.8" x14ac:dyDescent="0.25">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3.8" x14ac:dyDescent="0.25">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3.8" x14ac:dyDescent="0.25">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3.8" x14ac:dyDescent="0.25">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3.8" x14ac:dyDescent="0.25">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3.8" x14ac:dyDescent="0.25">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3.8" x14ac:dyDescent="0.25">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3.8" x14ac:dyDescent="0.25">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3.8" x14ac:dyDescent="0.25">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3.8" x14ac:dyDescent="0.25">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3.8" x14ac:dyDescent="0.25">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3.8" x14ac:dyDescent="0.25">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3.8" x14ac:dyDescent="0.25">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3.8" x14ac:dyDescent="0.25">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3.8" x14ac:dyDescent="0.25">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3.8" x14ac:dyDescent="0.25">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3.8" x14ac:dyDescent="0.25">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3.8" x14ac:dyDescent="0.25">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3.8" x14ac:dyDescent="0.25">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3.8" x14ac:dyDescent="0.25">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3.8" x14ac:dyDescent="0.25">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3.8" x14ac:dyDescent="0.25">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3.8" x14ac:dyDescent="0.25">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3.8" x14ac:dyDescent="0.25">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3.8" x14ac:dyDescent="0.25">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3.8" x14ac:dyDescent="0.25">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3.8" x14ac:dyDescent="0.25">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3.8" x14ac:dyDescent="0.25">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3.8" x14ac:dyDescent="0.25">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3.8" x14ac:dyDescent="0.25">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3.8" x14ac:dyDescent="0.25">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3.8" x14ac:dyDescent="0.25">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3.8" x14ac:dyDescent="0.25">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3.8" x14ac:dyDescent="0.25">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3.8" x14ac:dyDescent="0.25">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3.8" x14ac:dyDescent="0.25">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3.8" x14ac:dyDescent="0.25">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3.8" x14ac:dyDescent="0.25">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3.8" x14ac:dyDescent="0.25">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3.8" x14ac:dyDescent="0.25">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3.8" x14ac:dyDescent="0.25">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3.8" x14ac:dyDescent="0.25">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3.8" x14ac:dyDescent="0.25">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3.8" x14ac:dyDescent="0.25">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3.8" x14ac:dyDescent="0.25">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3.8" x14ac:dyDescent="0.25">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3.8" x14ac:dyDescent="0.25">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3.8" x14ac:dyDescent="0.25">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3.8" x14ac:dyDescent="0.25">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3.8" x14ac:dyDescent="0.25">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3.8" x14ac:dyDescent="0.25">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3.8" x14ac:dyDescent="0.25">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3.8" x14ac:dyDescent="0.25">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3.8" x14ac:dyDescent="0.25">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3.8" x14ac:dyDescent="0.25">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3.8" x14ac:dyDescent="0.25">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3.8" x14ac:dyDescent="0.25">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3.8" x14ac:dyDescent="0.25">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3.8" x14ac:dyDescent="0.25">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3.8" x14ac:dyDescent="0.25">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3.8" x14ac:dyDescent="0.25">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3.8" x14ac:dyDescent="0.25">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3.8" x14ac:dyDescent="0.25">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3.8" x14ac:dyDescent="0.25">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3.8" x14ac:dyDescent="0.25">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3.8" x14ac:dyDescent="0.25">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3.8" x14ac:dyDescent="0.25">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3.8" x14ac:dyDescent="0.25">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3.8" x14ac:dyDescent="0.25">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3.8" x14ac:dyDescent="0.25">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3.8" x14ac:dyDescent="0.25">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3.8" x14ac:dyDescent="0.25">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3.8" x14ac:dyDescent="0.25">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3.8" x14ac:dyDescent="0.25">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3.8" x14ac:dyDescent="0.25">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3.8" x14ac:dyDescent="0.25">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3.8" x14ac:dyDescent="0.25">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3.8" x14ac:dyDescent="0.25">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3.8" x14ac:dyDescent="0.25">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3.8" x14ac:dyDescent="0.25">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3.8" x14ac:dyDescent="0.25">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3.8" x14ac:dyDescent="0.25">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3.8" x14ac:dyDescent="0.25">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3.8" x14ac:dyDescent="0.25">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3.8" x14ac:dyDescent="0.25">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3.8" x14ac:dyDescent="0.25">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3.8" x14ac:dyDescent="0.25">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3.8" x14ac:dyDescent="0.25">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3.8" x14ac:dyDescent="0.25">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3.8" x14ac:dyDescent="0.25">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3.8" x14ac:dyDescent="0.25">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3.8" x14ac:dyDescent="0.25">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3.8" x14ac:dyDescent="0.25">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3.8" x14ac:dyDescent="0.25">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3.8" x14ac:dyDescent="0.25">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3.8" x14ac:dyDescent="0.25">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3.8" x14ac:dyDescent="0.25">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3.8" x14ac:dyDescent="0.25">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3.8" x14ac:dyDescent="0.25">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3.8" x14ac:dyDescent="0.25">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3.8" x14ac:dyDescent="0.25">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3.8" x14ac:dyDescent="0.25">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3.8" x14ac:dyDescent="0.25">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3.8" x14ac:dyDescent="0.25">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3.8" x14ac:dyDescent="0.25">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3.8" x14ac:dyDescent="0.25">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3.8" x14ac:dyDescent="0.25">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3.8" x14ac:dyDescent="0.25">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3.8" x14ac:dyDescent="0.25">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3.8" x14ac:dyDescent="0.25">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3.8" x14ac:dyDescent="0.25">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3.8" x14ac:dyDescent="0.25">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3.8" x14ac:dyDescent="0.25">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3.8" x14ac:dyDescent="0.25">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3.8" x14ac:dyDescent="0.25">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3.8" x14ac:dyDescent="0.25">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3.8" x14ac:dyDescent="0.25">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3.8" x14ac:dyDescent="0.25">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3.8" x14ac:dyDescent="0.25">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3.8" x14ac:dyDescent="0.25">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3.8" x14ac:dyDescent="0.25">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3.8" x14ac:dyDescent="0.25">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3.8" x14ac:dyDescent="0.25">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3.8" x14ac:dyDescent="0.25">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3.8" x14ac:dyDescent="0.25">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3.8" x14ac:dyDescent="0.25">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3.8" x14ac:dyDescent="0.25">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3.8" x14ac:dyDescent="0.25">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3.8" x14ac:dyDescent="0.25">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3.8" x14ac:dyDescent="0.25">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3.8" x14ac:dyDescent="0.25">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3.8" x14ac:dyDescent="0.25">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3.8" x14ac:dyDescent="0.25">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3.8" x14ac:dyDescent="0.25">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3.8" x14ac:dyDescent="0.25">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3.8" x14ac:dyDescent="0.25">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3.8" x14ac:dyDescent="0.25">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3.8" x14ac:dyDescent="0.25">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3.8" x14ac:dyDescent="0.25">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3.8" x14ac:dyDescent="0.25">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3.8" x14ac:dyDescent="0.25">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3.8" x14ac:dyDescent="0.25">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3.8" x14ac:dyDescent="0.25">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3.8" x14ac:dyDescent="0.25">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3.8" x14ac:dyDescent="0.25">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3.8" x14ac:dyDescent="0.25">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3.8" x14ac:dyDescent="0.25">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3.8" x14ac:dyDescent="0.25">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3.8" x14ac:dyDescent="0.25">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3.8" x14ac:dyDescent="0.25">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3.8" x14ac:dyDescent="0.25">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3.8" x14ac:dyDescent="0.25">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3.8" x14ac:dyDescent="0.25">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3.8" x14ac:dyDescent="0.25">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3.8" x14ac:dyDescent="0.25">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3.8" x14ac:dyDescent="0.25">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3.8" x14ac:dyDescent="0.25">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3.8" x14ac:dyDescent="0.25">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3.8" x14ac:dyDescent="0.25">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3.8" x14ac:dyDescent="0.25">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 thickBot="1" x14ac:dyDescent="0.3">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
      <c r="B260" s="34"/>
      <c r="C260" s="34"/>
      <c r="D260" s="223"/>
      <c r="E260" s="366">
        <f>SUM(E12:E259)</f>
        <v>0</v>
      </c>
      <c r="F260" s="34"/>
      <c r="G260" s="34"/>
      <c r="H260" s="34"/>
      <c r="I260" s="34"/>
      <c r="J260" s="34"/>
      <c r="K260" s="34"/>
      <c r="L260" s="34"/>
      <c r="M260" s="34"/>
      <c r="N260" s="34"/>
      <c r="O260" s="34"/>
      <c r="P260" s="34"/>
      <c r="Q260" s="34"/>
      <c r="R260" s="34"/>
      <c r="S260" s="34"/>
      <c r="T260" s="34"/>
      <c r="U260" s="1586"/>
      <c r="V260" s="1587"/>
      <c r="W260" s="366">
        <f>SUM(W12:W259)</f>
        <v>0</v>
      </c>
      <c r="X260" s="34"/>
      <c r="Y260" s="34"/>
    </row>
    <row r="261" spans="2:33" ht="28.95" customHeight="1" x14ac:dyDescent="0.25">
      <c r="E261" s="1585"/>
      <c r="F261" s="1585"/>
      <c r="G261" s="1585"/>
      <c r="H261" s="1585"/>
      <c r="I261" s="1585"/>
      <c r="J261" s="1585"/>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c4mYJqbRMyt8mWxlYSeVqJX5C9iPysJy8/liH0eF5Z97nxnrq6cECi5zQuTeq88Re82EFYqwLOPpcPdkaKbGmQ==" saltValue="td8X8/CB0RZGs4Ng9hsB9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U260:V260"/>
    <mergeCell ref="M3:R5"/>
    <mergeCell ref="I3:J3"/>
    <mergeCell ref="W10:W11"/>
    <mergeCell ref="X10:Y10"/>
    <mergeCell ref="S10:V10"/>
    <mergeCell ref="M10:R10"/>
    <mergeCell ref="E261:J261"/>
    <mergeCell ref="B2:D2"/>
    <mergeCell ref="B3:D4"/>
    <mergeCell ref="D10:E10"/>
    <mergeCell ref="H10:I10"/>
    <mergeCell ref="J10:L10"/>
    <mergeCell ref="F10:G10"/>
    <mergeCell ref="F3:H3"/>
    <mergeCell ref="F4:H4"/>
    <mergeCell ref="I4:J4"/>
    <mergeCell ref="F2:J2"/>
    <mergeCell ref="F5:H5"/>
    <mergeCell ref="I5:J5"/>
  </mergeCells>
  <conditionalFormatting sqref="E261:J261">
    <cfRule type="containsText" dxfId="304" priority="16" operator="containsText" text="Check">
      <formula>NOT(ISERROR(SEARCH("Check",E261)))</formula>
    </cfRule>
  </conditionalFormatting>
  <conditionalFormatting sqref="I3:I4">
    <cfRule type="containsText" dxfId="303" priority="3" operator="containsText" text="Error">
      <formula>NOT(ISERROR(SEARCH("Error",I3)))</formula>
    </cfRule>
    <cfRule type="containsText" dxfId="302" priority="4" operator="containsText" text="Check">
      <formula>NOT(ISERROR(SEARCH("Check",I3)))</formula>
    </cfRule>
  </conditionalFormatting>
  <conditionalFormatting sqref="I5">
    <cfRule type="containsText" dxfId="301" priority="7" operator="containsText" text="No">
      <formula>NOT(ISERROR(SEARCH("No",I5)))</formula>
    </cfRule>
    <cfRule type="containsText" dxfId="300" priority="8" operator="containsText" text="Yes">
      <formula>NOT(ISERROR(SEARCH("Yes",I5)))</formula>
    </cfRule>
  </conditionalFormatting>
  <conditionalFormatting sqref="I12:I259">
    <cfRule type="containsText" dxfId="299" priority="6" operator="containsText" text="Not possible">
      <formula>NOT(ISERROR(SEARCH("Not possible",I12)))</formula>
    </cfRule>
  </conditionalFormatting>
  <conditionalFormatting sqref="I3:J5">
    <cfRule type="containsText" dxfId="298" priority="1" operator="containsText" text="N/A">
      <formula>NOT(ISERROR(SEARCH("N/A",I3)))</formula>
    </cfRule>
  </conditionalFormatting>
  <conditionalFormatting sqref="I4:J4">
    <cfRule type="cellIs" dxfId="297" priority="2" operator="equal">
      <formula>0</formula>
    </cfRule>
    <cfRule type="cellIs" dxfId="296" priority="5" operator="lessThan">
      <formula>0</formula>
    </cfRule>
  </conditionalFormatting>
  <conditionalFormatting sqref="K12:L259">
    <cfRule type="containsText" dxfId="293" priority="24" operator="containsText" text="Spatial">
      <formula>NOT(ISERROR(SEARCH("Spatial",K12)))</formula>
    </cfRule>
  </conditionalFormatting>
  <conditionalFormatting sqref="M3 M6:Q7">
    <cfRule type="containsText" dxfId="292" priority="23" operator="containsText" text="Note">
      <formula>NOT(ISERROR(SEARCH("Note",M3)))</formula>
    </cfRule>
  </conditionalFormatting>
  <conditionalFormatting sqref="P12:P259">
    <cfRule type="containsText" dxfId="291" priority="21" operator="containsText" text="Check">
      <formula>NOT(ISERROR(SEARCH("Check",P12)))</formula>
    </cfRule>
    <cfRule type="containsText" dxfId="290" priority="22" operator="containsText" text="Error">
      <formula>NOT(ISERROR(SEARCH("Error",P12)))</formula>
    </cfRule>
  </conditionalFormatting>
  <conditionalFormatting sqref="Q12:Q259">
    <cfRule type="containsText" dxfId="289" priority="15" operator="containsText" text="30+">
      <formula>NOT(ISERROR(SEARCH("30+",Q12)))</formula>
    </cfRule>
  </conditionalFormatting>
  <conditionalFormatting sqref="Q12:R259">
    <cfRule type="containsText" dxfId="288" priority="19" operator="containsText" text="Check">
      <formula>NOT(ISERROR(SEARCH("Check",Q12)))</formula>
    </cfRule>
  </conditionalFormatting>
  <conditionalFormatting sqref="T12:T259">
    <cfRule type="containsText" dxfId="287" priority="17" operator="containsText" text="No - Low Difficulty">
      <formula>NOT(ISERROR(SEARCH("No - Low Difficulty",T12)))</formula>
    </cfRule>
    <cfRule type="containsText" dxfId="286" priority="18" operator="containsText" text="Check">
      <formula>NOT(ISERROR(SEARCH("Check",T12)))</formula>
    </cfRule>
  </conditionalFormatting>
  <conditionalFormatting sqref="W12:W259">
    <cfRule type="containsText" dxfId="285" priority="26" operator="containsText" text="Existing Value Not Required">
      <formula>NOT(ISERROR(SEARCH("Existing Value Not Required",W12)))</formula>
    </cfRule>
    <cfRule type="containsText" dxfId="284" priority="27"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6" operator="lessThan" id="{96391D0B-65D4-461C-B97E-32341A4ADCD7}">
            <xm:f>Start!$F$22</xm:f>
            <x14:dxf>
              <font>
                <color rgb="FF383745"/>
              </font>
              <fill>
                <patternFill>
                  <bgColor rgb="FFFFC000"/>
                </patternFill>
              </fill>
            </x14:dxf>
          </x14:cfRule>
          <x14:cfRule type="cellIs" priority="437"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pane="bottomLeft" activeCell="N6" sqref="N6"/>
    </sheetView>
  </sheetViews>
  <sheetFormatPr defaultColWidth="0" defaultRowHeight="0" customHeight="1" zeroHeight="1" x14ac:dyDescent="0.25"/>
  <cols>
    <col min="1" max="1" width="2.77734375" style="30" customWidth="1"/>
    <col min="2" max="2" width="10" style="30" customWidth="1"/>
    <col min="3" max="3" width="53.21875" style="30" customWidth="1"/>
    <col min="4" max="4" width="9" style="30" customWidth="1"/>
    <col min="5" max="5" width="18.77734375" style="30" customWidth="1"/>
    <col min="6" max="6" width="17.5546875" style="30" customWidth="1"/>
    <col min="7" max="7" width="18.21875" style="30" customWidth="1"/>
    <col min="8" max="11" width="19.21875" style="30" customWidth="1"/>
    <col min="12" max="12" width="33.44140625" style="30" customWidth="1"/>
    <col min="13" max="13" width="68.77734375" style="30" customWidth="1"/>
    <col min="14" max="15" width="34.21875" style="30" customWidth="1"/>
    <col min="16" max="16" width="10.21875" style="30" customWidth="1"/>
    <col min="17" max="17" width="17.5546875" style="30" customWidth="1"/>
    <col min="18" max="18" width="13.21875" style="30" customWidth="1"/>
    <col min="19" max="19" width="12.5546875" style="30" bestFit="1" customWidth="1"/>
    <col min="20" max="20" width="12.5546875" style="30" customWidth="1"/>
    <col min="21" max="21" width="41.77734375" style="30" customWidth="1"/>
    <col min="22" max="22" width="15.44140625" style="30" customWidth="1"/>
    <col min="23" max="23" width="12.21875" style="30" customWidth="1"/>
    <col min="24" max="24" width="18.77734375" style="30" customWidth="1"/>
    <col min="25" max="25" width="21.77734375" style="30" customWidth="1"/>
    <col min="26" max="26" width="22.77734375" style="30" customWidth="1"/>
    <col min="27" max="27" width="33.5546875" style="30" customWidth="1"/>
    <col min="28" max="28" width="18.77734375" style="30" customWidth="1"/>
    <col min="29" max="29" width="15.21875" style="30" customWidth="1"/>
    <col min="30" max="30" width="15.77734375" style="30" customWidth="1"/>
    <col min="31" max="31" width="24" style="30" customWidth="1"/>
    <col min="32" max="32" width="22.21875" style="30" customWidth="1"/>
    <col min="33" max="33" width="13.44140625" style="30" customWidth="1"/>
    <col min="34" max="34" width="12.77734375" style="30" customWidth="1"/>
    <col min="35" max="36" width="34.77734375" style="30" customWidth="1"/>
    <col min="37" max="37" width="13.5546875" style="30" customWidth="1"/>
    <col min="38" max="45" width="8.77734375" style="30" customWidth="1"/>
    <col min="46" max="46" width="15.77734375" style="30" hidden="1" customWidth="1"/>
    <col min="47" max="16384" width="8.77734375" style="30" hidden="1"/>
  </cols>
  <sheetData>
    <row r="1" spans="2:46" ht="15.75" customHeight="1" thickBot="1" x14ac:dyDescent="0.3"/>
    <row r="2" spans="2:46" ht="19.95" customHeight="1" thickBot="1" x14ac:dyDescent="0.3">
      <c r="B2" s="1554" t="str">
        <f>CONCATENATE("Project Name:", " ", Start!F12, "     ", "Map Reference:", " ", Start!K55)</f>
        <v xml:space="preserve">Project Name: Broadfield Park Slopes (‘The Slopes’), The Esplanade, Rochdale, OL16 1AQ     Map Reference: </v>
      </c>
      <c r="C2" s="1555"/>
      <c r="D2" s="1556"/>
      <c r="M2" s="503"/>
      <c r="N2" s="1590" t="s">
        <v>380</v>
      </c>
      <c r="O2" s="1591"/>
      <c r="P2" s="1592"/>
      <c r="X2" s="1463" t="str">
        <f>IF(OR(COUNTIF($X$12:X257,"*30+*")&gt;0,COUNTIF($AB$12:AB257,"*30+*")&gt;0),"Note; Habitat selected has a time to target condition greater than 30 years. Non standard agreement may be required.","")</f>
        <v/>
      </c>
      <c r="Y2" s="1463"/>
      <c r="Z2" s="1463"/>
      <c r="AA2" s="1463"/>
      <c r="AB2" s="1463"/>
      <c r="AC2" s="1463"/>
    </row>
    <row r="3" spans="2:46" ht="21" customHeight="1" x14ac:dyDescent="0.25">
      <c r="B3" s="1512" t="str">
        <f ca="1">MID(CELL("filename",A1),FIND("]",CELL("filename",A1))+1,256)</f>
        <v>B-3 On-Site Hedge Enhancement</v>
      </c>
      <c r="C3" s="1513"/>
      <c r="D3" s="1514"/>
      <c r="N3" s="535" t="s">
        <v>263</v>
      </c>
      <c r="O3" s="1501">
        <f>'Headline Results'!H48</f>
        <v>0</v>
      </c>
      <c r="P3" s="1502"/>
      <c r="X3" s="1463"/>
      <c r="Y3" s="1463"/>
      <c r="Z3" s="1463"/>
      <c r="AA3" s="1463"/>
      <c r="AB3" s="1463"/>
      <c r="AC3" s="1463"/>
    </row>
    <row r="4" spans="2:46" ht="15.75" customHeight="1" thickBot="1" x14ac:dyDescent="0.35">
      <c r="B4" s="1515"/>
      <c r="C4" s="1516"/>
      <c r="D4" s="1517"/>
      <c r="N4" s="506" t="s">
        <v>265</v>
      </c>
      <c r="O4" s="1577">
        <f>'Headline Results'!H52</f>
        <v>0</v>
      </c>
      <c r="P4" s="1578"/>
      <c r="V4" s="31"/>
      <c r="W4" s="158"/>
      <c r="X4" s="1463"/>
      <c r="Y4" s="1463"/>
      <c r="Z4" s="1463"/>
      <c r="AA4" s="1463"/>
      <c r="AB4" s="1463"/>
      <c r="AC4" s="1463"/>
      <c r="AD4" s="158"/>
      <c r="AE4" s="158"/>
      <c r="AF4" s="158"/>
      <c r="AG4" s="158"/>
      <c r="AH4" s="158"/>
      <c r="AI4" s="158"/>
      <c r="AJ4" s="158"/>
    </row>
    <row r="5" spans="2:46" ht="15.75" customHeight="1" thickBot="1" x14ac:dyDescent="0.3">
      <c r="N5" s="536" t="s">
        <v>267</v>
      </c>
      <c r="O5" s="1579" t="str" cm="1">
        <f t="array" ref="O5">IF(OR('Trading Summary Hedgerows'!G5:H8="No ▲"), "No - check trading summary ▲", "Yes ✓")</f>
        <v>Yes ✓</v>
      </c>
      <c r="P5" s="1580"/>
      <c r="Q5" s="509"/>
      <c r="X5" s="312"/>
      <c r="Y5" s="312"/>
      <c r="Z5" s="312"/>
      <c r="AA5" s="312"/>
      <c r="AB5" s="312"/>
    </row>
    <row r="6" spans="2:46" ht="15.75" customHeight="1" x14ac:dyDescent="0.25">
      <c r="X6" s="312"/>
      <c r="Y6" s="312"/>
      <c r="Z6" s="312"/>
      <c r="AA6" s="312"/>
      <c r="AB6" s="312"/>
    </row>
    <row r="7" spans="2:46" ht="13.8" x14ac:dyDescent="0.25">
      <c r="B7" s="102"/>
      <c r="C7" s="102"/>
      <c r="M7" s="101"/>
    </row>
    <row r="8" spans="2:46" ht="19.95" customHeight="1" thickBot="1" x14ac:dyDescent="0.3"/>
    <row r="9" spans="2:46" ht="14.4" thickBot="1" x14ac:dyDescent="0.3">
      <c r="C9" s="101"/>
      <c r="D9" s="101"/>
      <c r="E9" s="101"/>
      <c r="F9" s="101"/>
      <c r="G9" s="101"/>
      <c r="H9" s="101"/>
      <c r="I9" s="101"/>
      <c r="J9" s="101"/>
      <c r="K9" s="101"/>
      <c r="L9" s="101"/>
      <c r="M9" s="1560" t="s">
        <v>311</v>
      </c>
      <c r="N9" s="1562"/>
      <c r="O9" s="1562"/>
      <c r="P9" s="1562"/>
      <c r="Q9" s="1562"/>
      <c r="R9" s="1562"/>
      <c r="S9" s="1562"/>
      <c r="T9" s="1562"/>
      <c r="U9" s="1562"/>
      <c r="V9" s="1562"/>
      <c r="W9" s="1562"/>
      <c r="X9" s="1562"/>
      <c r="Y9" s="1562"/>
      <c r="Z9" s="1562"/>
      <c r="AA9" s="1562"/>
      <c r="AB9" s="1562"/>
      <c r="AC9" s="1562"/>
      <c r="AD9" s="1562"/>
      <c r="AE9" s="1562"/>
      <c r="AF9" s="1562"/>
      <c r="AG9" s="1563"/>
    </row>
    <row r="10" spans="2:46" ht="28.2" customHeight="1" thickBot="1" x14ac:dyDescent="0.3">
      <c r="B10" s="161"/>
      <c r="C10" s="1548" t="s">
        <v>393</v>
      </c>
      <c r="D10" s="1548"/>
      <c r="E10" s="1548"/>
      <c r="F10" s="1548"/>
      <c r="G10" s="1548"/>
      <c r="H10" s="1548"/>
      <c r="I10" s="1548"/>
      <c r="J10" s="1548"/>
      <c r="K10" s="1548"/>
      <c r="L10" s="1548"/>
      <c r="M10" s="1534" t="s">
        <v>394</v>
      </c>
      <c r="N10" s="1589" t="s">
        <v>334</v>
      </c>
      <c r="O10" s="1589"/>
      <c r="P10" s="1534" t="s">
        <v>34</v>
      </c>
      <c r="Q10" s="1315" t="s">
        <v>269</v>
      </c>
      <c r="R10" s="1313"/>
      <c r="S10" s="1546" t="s">
        <v>270</v>
      </c>
      <c r="T10" s="1313"/>
      <c r="U10" s="1536" t="s">
        <v>271</v>
      </c>
      <c r="V10" s="1536"/>
      <c r="W10" s="1536"/>
      <c r="X10" s="1573" t="s">
        <v>314</v>
      </c>
      <c r="Y10" s="1574"/>
      <c r="Z10" s="1574"/>
      <c r="AA10" s="1574"/>
      <c r="AB10" s="1574"/>
      <c r="AC10" s="1575"/>
      <c r="AD10" s="1552" t="s">
        <v>337</v>
      </c>
      <c r="AE10" s="1552"/>
      <c r="AF10" s="1552"/>
      <c r="AG10" s="1552"/>
      <c r="AH10" s="1552" t="s">
        <v>390</v>
      </c>
      <c r="AI10" s="1561" t="s">
        <v>276</v>
      </c>
      <c r="AJ10" s="1536"/>
    </row>
    <row r="11" spans="2:46" ht="61.5" customHeight="1" thickBot="1" x14ac:dyDescent="0.3">
      <c r="B11" s="140" t="s">
        <v>339</v>
      </c>
      <c r="C11" s="145" t="s">
        <v>340</v>
      </c>
      <c r="D11" s="145" t="s">
        <v>34</v>
      </c>
      <c r="E11" s="145" t="s">
        <v>342</v>
      </c>
      <c r="F11" s="145" t="s">
        <v>343</v>
      </c>
      <c r="G11" s="145" t="s">
        <v>344</v>
      </c>
      <c r="H11" s="145" t="s">
        <v>345</v>
      </c>
      <c r="I11" s="145" t="s">
        <v>346</v>
      </c>
      <c r="J11" s="145" t="s">
        <v>347</v>
      </c>
      <c r="K11" s="145" t="s">
        <v>348</v>
      </c>
      <c r="L11" s="144" t="s">
        <v>272</v>
      </c>
      <c r="M11" s="1534"/>
      <c r="N11" s="132" t="s">
        <v>395</v>
      </c>
      <c r="O11" s="752" t="s">
        <v>396</v>
      </c>
      <c r="P11" s="1534"/>
      <c r="Q11" s="126" t="s">
        <v>269</v>
      </c>
      <c r="R11" s="861" t="s">
        <v>286</v>
      </c>
      <c r="S11" s="865" t="s">
        <v>270</v>
      </c>
      <c r="T11" s="861" t="s">
        <v>286</v>
      </c>
      <c r="U11" s="132" t="s">
        <v>271</v>
      </c>
      <c r="V11" s="811" t="s">
        <v>271</v>
      </c>
      <c r="W11" s="752" t="s">
        <v>317</v>
      </c>
      <c r="X11" s="132" t="s">
        <v>392</v>
      </c>
      <c r="Y11" s="811" t="s">
        <v>377</v>
      </c>
      <c r="Z11" s="811" t="s">
        <v>354</v>
      </c>
      <c r="AA11" s="811" t="s">
        <v>321</v>
      </c>
      <c r="AB11" s="811" t="s">
        <v>322</v>
      </c>
      <c r="AC11" s="752" t="s">
        <v>397</v>
      </c>
      <c r="AD11" s="132" t="s">
        <v>398</v>
      </c>
      <c r="AE11" s="811" t="s">
        <v>1679</v>
      </c>
      <c r="AF11" s="811" t="s">
        <v>399</v>
      </c>
      <c r="AG11" s="752" t="s">
        <v>327</v>
      </c>
      <c r="AH11" s="1588"/>
      <c r="AI11" s="865" t="s">
        <v>295</v>
      </c>
      <c r="AJ11" s="861" t="s">
        <v>296</v>
      </c>
      <c r="AK11" s="48" t="s">
        <v>297</v>
      </c>
      <c r="AT11" s="101" t="s">
        <v>280</v>
      </c>
    </row>
    <row r="12" spans="2:46" ht="13.8" x14ac:dyDescent="0.25">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t="str">
        <f t="shared" ref="M12:M77" si="0">IF(B12="","",C12)</f>
        <v/>
      </c>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3.8" x14ac:dyDescent="0.25">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t="str">
        <f t="shared" si="0"/>
        <v/>
      </c>
      <c r="N13" s="362" t="str">
        <f>IFERROR(IF(B13="","",INDEX('G-6 Hedgerow Data'!$AN$3:$AZ$15,MATCH(C13,'G-6 Hedgerow Data'!$AM$3:$AM$15,0),MATCH(M13,'G-6 Hedgerow Data'!$AN$2:$AZ$2,0))),"")</f>
        <v/>
      </c>
      <c r="O13" s="363" t="str">
        <f t="shared" ref="O13:O76" si="2">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 ⚠",IF(X13+Z13&gt;30,"30+ 'C-1 Site River Baseline'!",IF(AA13="Error -both advance and delayed habitat creation ▲","Check Data ⚠",IF(X13+Z13-Y13&gt;0,X13+Z13-Y13,IF(X13-Y13&lt;=0,0,))))))))</f>
        <v/>
      </c>
      <c r="AC13" s="384" t="str">
        <f t="shared" si="1"/>
        <v/>
      </c>
      <c r="AD13" s="398" t="str">
        <f>IF(M13="","",VLOOKUP(M13,'G-6 Hedgerow Data'!$B$3:$AG$15,31,FALSE))</f>
        <v/>
      </c>
      <c r="AE13" s="370" t="str">
        <f t="shared" ref="AE13:AE76" si="5">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6">(IF(AND(AE13="Standard difficulty applied",X13&gt;Y13),AD13,IF(AND(AE13="Low Difficulty - only applicable if all habitat created before losses ⚠",Y13&gt;=X13),"Low",AD13)))</f>
        <v/>
      </c>
      <c r="AG13" s="386" t="str">
        <f>IFERROR(IF(O13="","",VLOOKUP(AD13,'G-3 Multipliers'!$P$3:$Q$6,2,FALSE)),"")</f>
        <v/>
      </c>
      <c r="AH13" s="376" t="str">
        <f t="shared" ref="AH13:AH75" si="7">IFERROR(IF(OR(M13="",S13="",U13=""),"",(((((P13*R13*T13)-(P13*F13*H13))*(AG13*AC13))+(P13*F13*H13))*(W13))),"")</f>
        <v/>
      </c>
      <c r="AI13" s="317"/>
      <c r="AJ13" s="195"/>
      <c r="AK13" s="120"/>
      <c r="AT13" s="30" t="str">
        <f>IFERROR(INDEX('G-6 Hedgerow Data'!$BJ$3:$BJ$15,MATCH(M13,'G-6 Hedgerow Data'!$B$3:$B$15,0)),"")</f>
        <v/>
      </c>
    </row>
    <row r="14" spans="2:46" ht="13.8" x14ac:dyDescent="0.25">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t="str">
        <f t="shared" si="0"/>
        <v/>
      </c>
      <c r="N14" s="362" t="str">
        <f>IFERROR(IF(B14="","",INDEX('G-6 Hedgerow Data'!$AN$3:$AZ$15,MATCH(C14,'G-6 Hedgerow Data'!$AM$3:$AM$15,0),MATCH(M14,'G-6 Hedgerow Data'!$AN$2:$AZ$2,0))),"")</f>
        <v/>
      </c>
      <c r="O14" s="363" t="str">
        <f t="shared" si="2"/>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70" t="str">
        <f t="shared" si="5"/>
        <v/>
      </c>
      <c r="AF14" s="370" t="str">
        <f t="shared" si="6"/>
        <v/>
      </c>
      <c r="AG14" s="386" t="str">
        <f>IFERROR(IF(O14="","",VLOOKUP(AD14,'G-3 Multipliers'!$P$3:$Q$6,2,FALSE)),"")</f>
        <v/>
      </c>
      <c r="AH14" s="376" t="str">
        <f t="shared" si="7"/>
        <v/>
      </c>
      <c r="AI14" s="317"/>
      <c r="AJ14" s="195"/>
      <c r="AK14" s="120"/>
      <c r="AT14" s="30" t="str">
        <f>IFERROR(INDEX('G-6 Hedgerow Data'!$BJ$3:$BJ$15,MATCH(M14,'G-6 Hedgerow Data'!$B$3:$B$15,0)),"")</f>
        <v/>
      </c>
    </row>
    <row r="15" spans="2:46" ht="13.8" x14ac:dyDescent="0.25">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t="str">
        <f t="shared" si="0"/>
        <v/>
      </c>
      <c r="N15" s="362" t="str">
        <f>IFERROR(IF(B15="","",INDEX('G-6 Hedgerow Data'!$AN$3:$AZ$15,MATCH(C15,'G-6 Hedgerow Data'!$AM$3:$AM$15,0),MATCH(M15,'G-6 Hedgerow Data'!$AN$2:$AZ$2,0))),"")</f>
        <v/>
      </c>
      <c r="O15" s="363" t="str">
        <f t="shared" si="2"/>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70" t="str">
        <f t="shared" si="5"/>
        <v/>
      </c>
      <c r="AF15" s="370" t="str">
        <f t="shared" si="6"/>
        <v/>
      </c>
      <c r="AG15" s="386" t="str">
        <f>IFERROR(IF(O15="","",VLOOKUP(AD15,'G-3 Multipliers'!$P$3:$Q$6,2,FALSE)),"")</f>
        <v/>
      </c>
      <c r="AH15" s="376" t="str">
        <f t="shared" si="7"/>
        <v/>
      </c>
      <c r="AI15" s="317"/>
      <c r="AJ15" s="195"/>
      <c r="AK15" s="120"/>
      <c r="AT15" s="30" t="str">
        <f>IFERROR(INDEX('G-6 Hedgerow Data'!$BJ$3:$BJ$15,MATCH(M15,'G-6 Hedgerow Data'!$B$3:$B$15,0)),"")</f>
        <v/>
      </c>
    </row>
    <row r="16" spans="2:46" ht="13.8" x14ac:dyDescent="0.2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t="str">
        <f t="shared" si="0"/>
        <v/>
      </c>
      <c r="N16" s="362" t="str">
        <f>IFERROR(IF(B16="","",INDEX('G-6 Hedgerow Data'!$AN$3:$AZ$15,MATCH(C16,'G-6 Hedgerow Data'!$AM$3:$AM$15,0),MATCH(M16,'G-6 Hedgerow Data'!$AN$2:$AZ$2,0))),"")</f>
        <v/>
      </c>
      <c r="O16" s="363" t="str">
        <f t="shared" si="2"/>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70" t="str">
        <f t="shared" si="5"/>
        <v/>
      </c>
      <c r="AF16" s="370" t="str">
        <f t="shared" si="6"/>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3.8" x14ac:dyDescent="0.25">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t="str">
        <f t="shared" si="0"/>
        <v/>
      </c>
      <c r="N17" s="362" t="str">
        <f>IFERROR(IF(B17="","",INDEX('G-6 Hedgerow Data'!$AN$3:$AZ$15,MATCH(C17,'G-6 Hedgerow Data'!$AM$3:$AM$15,0),MATCH(M17,'G-6 Hedgerow Data'!$AN$2:$AZ$2,0))),"")</f>
        <v/>
      </c>
      <c r="O17" s="363" t="str">
        <f t="shared" si="2"/>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70" t="str">
        <f t="shared" si="5"/>
        <v/>
      </c>
      <c r="AF17" s="370" t="str">
        <f t="shared" si="6"/>
        <v/>
      </c>
      <c r="AG17" s="386" t="str">
        <f>IFERROR(IF(O17="","",VLOOKUP(AD17,'G-3 Multipliers'!$P$3:$Q$6,2,FALSE)),"")</f>
        <v/>
      </c>
      <c r="AH17" s="376" t="str">
        <f t="shared" si="7"/>
        <v/>
      </c>
      <c r="AI17" s="188"/>
      <c r="AJ17" s="118"/>
      <c r="AK17" s="120"/>
      <c r="AT17" s="30" t="str">
        <f>IFERROR(INDEX('G-6 Hedgerow Data'!$BJ$3:$BJ$15,MATCH(M17,'G-6 Hedgerow Data'!$B$3:$B$15,0)),"")</f>
        <v/>
      </c>
    </row>
    <row r="18" spans="2:46" ht="13.8" x14ac:dyDescent="0.25">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t="str">
        <f t="shared" si="0"/>
        <v/>
      </c>
      <c r="N18" s="362" t="str">
        <f>IFERROR(IF(B18="","",INDEX('G-6 Hedgerow Data'!$AN$3:$AZ$15,MATCH(C18,'G-6 Hedgerow Data'!$AM$3:$AM$15,0),MATCH(M18,'G-6 Hedgerow Data'!$AN$2:$AZ$2,0))),"")</f>
        <v/>
      </c>
      <c r="O18" s="363" t="str">
        <f t="shared" si="2"/>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70" t="str">
        <f t="shared" si="5"/>
        <v/>
      </c>
      <c r="AF18" s="370" t="str">
        <f t="shared" si="6"/>
        <v/>
      </c>
      <c r="AG18" s="386" t="str">
        <f>IFERROR(IF(O18="","",VLOOKUP(AD18,'G-3 Multipliers'!$P$3:$Q$6,2,FALSE)),"")</f>
        <v/>
      </c>
      <c r="AH18" s="376" t="str">
        <f t="shared" si="7"/>
        <v/>
      </c>
      <c r="AI18" s="188"/>
      <c r="AJ18" s="118"/>
      <c r="AK18" s="120"/>
      <c r="AT18" s="30" t="str">
        <f>IFERROR(INDEX('G-6 Hedgerow Data'!$BJ$3:$BJ$15,MATCH(M18,'G-6 Hedgerow Data'!$B$3:$B$15,0)),"")</f>
        <v/>
      </c>
    </row>
    <row r="19" spans="2:46" ht="13.8" x14ac:dyDescent="0.25">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t="str">
        <f t="shared" si="0"/>
        <v/>
      </c>
      <c r="N19" s="362" t="str">
        <f>IFERROR(IF(B19="","",INDEX('G-6 Hedgerow Data'!$AN$3:$AZ$15,MATCH(C19,'G-6 Hedgerow Data'!$AM$3:$AM$15,0),MATCH(M19,'G-6 Hedgerow Data'!$AN$2:$AZ$2,0))),"")</f>
        <v/>
      </c>
      <c r="O19" s="363" t="str">
        <f t="shared" si="2"/>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70" t="str">
        <f t="shared" si="5"/>
        <v/>
      </c>
      <c r="AF19" s="370" t="str">
        <f t="shared" si="6"/>
        <v/>
      </c>
      <c r="AG19" s="386" t="str">
        <f>IFERROR(IF(O19="","",VLOOKUP(AD19,'G-3 Multipliers'!$P$3:$Q$6,2,FALSE)),"")</f>
        <v/>
      </c>
      <c r="AH19" s="376" t="str">
        <f t="shared" si="7"/>
        <v/>
      </c>
      <c r="AI19" s="188"/>
      <c r="AJ19" s="118"/>
      <c r="AK19" s="120"/>
      <c r="AT19" s="30" t="str">
        <f>IFERROR(INDEX('G-6 Hedgerow Data'!$BJ$3:$BJ$15,MATCH(M19,'G-6 Hedgerow Data'!$B$3:$B$15,0)),"")</f>
        <v/>
      </c>
    </row>
    <row r="20" spans="2:46" ht="13.8" x14ac:dyDescent="0.25">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t="str">
        <f t="shared" si="0"/>
        <v/>
      </c>
      <c r="N20" s="362" t="str">
        <f>IFERROR(IF(B20="","",INDEX('G-6 Hedgerow Data'!$AN$3:$AZ$15,MATCH(C20,'G-6 Hedgerow Data'!$AM$3:$AM$15,0),MATCH(M20,'G-6 Hedgerow Data'!$AN$2:$AZ$2,0))),"")</f>
        <v/>
      </c>
      <c r="O20" s="363" t="str">
        <f t="shared" si="2"/>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70" t="str">
        <f t="shared" si="5"/>
        <v/>
      </c>
      <c r="AF20" s="370" t="str">
        <f t="shared" si="6"/>
        <v/>
      </c>
      <c r="AG20" s="386" t="str">
        <f>IFERROR(IF(O20="","",VLOOKUP(AD20,'G-3 Multipliers'!$P$3:$Q$6,2,FALSE)),"")</f>
        <v/>
      </c>
      <c r="AH20" s="376" t="str">
        <f t="shared" si="7"/>
        <v/>
      </c>
      <c r="AI20" s="188"/>
      <c r="AJ20" s="118"/>
      <c r="AK20" s="120"/>
      <c r="AT20" s="30" t="str">
        <f>IFERROR(INDEX('G-6 Hedgerow Data'!$BJ$3:$BJ$15,MATCH(M20,'G-6 Hedgerow Data'!$B$3:$B$15,0)),"")</f>
        <v/>
      </c>
    </row>
    <row r="21" spans="2:46" ht="13.8" x14ac:dyDescent="0.25">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t="str">
        <f t="shared" si="0"/>
        <v/>
      </c>
      <c r="N21" s="362" t="str">
        <f>IFERROR(IF(B21="","",INDEX('G-6 Hedgerow Data'!$AN$3:$AZ$15,MATCH(C21,'G-6 Hedgerow Data'!$AM$3:$AM$15,0),MATCH(M21,'G-6 Hedgerow Data'!$AN$2:$AZ$2,0))),"")</f>
        <v/>
      </c>
      <c r="O21" s="363" t="str">
        <f t="shared" si="2"/>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70" t="str">
        <f t="shared" si="5"/>
        <v/>
      </c>
      <c r="AF21" s="370" t="str">
        <f t="shared" si="6"/>
        <v/>
      </c>
      <c r="AG21" s="386" t="str">
        <f>IFERROR(IF(O21="","",VLOOKUP(AD21,'G-3 Multipliers'!$P$3:$Q$6,2,FALSE)),"")</f>
        <v/>
      </c>
      <c r="AH21" s="376" t="str">
        <f t="shared" si="7"/>
        <v/>
      </c>
      <c r="AI21" s="188"/>
      <c r="AJ21" s="118"/>
      <c r="AK21" s="120"/>
      <c r="AT21" s="30" t="str">
        <f>IFERROR(INDEX('G-6 Hedgerow Data'!$BJ$3:$BJ$15,MATCH(M21,'G-6 Hedgerow Data'!$B$3:$B$15,0)),"")</f>
        <v/>
      </c>
    </row>
    <row r="22" spans="2:46" ht="13.8" x14ac:dyDescent="0.25">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t="str">
        <f t="shared" si="0"/>
        <v/>
      </c>
      <c r="N22" s="362" t="str">
        <f>IFERROR(IF(B22="","",INDEX('G-6 Hedgerow Data'!$AN$3:$AZ$15,MATCH(C22,'G-6 Hedgerow Data'!$AM$3:$AM$15,0),MATCH(M22,'G-6 Hedgerow Data'!$AN$2:$AZ$2,0))),"")</f>
        <v/>
      </c>
      <c r="O22" s="363" t="str">
        <f t="shared" si="2"/>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70" t="str">
        <f t="shared" si="5"/>
        <v/>
      </c>
      <c r="AF22" s="370" t="str">
        <f t="shared" si="6"/>
        <v/>
      </c>
      <c r="AG22" s="386" t="str">
        <f>IFERROR(IF(O22="","",VLOOKUP(AD22,'G-3 Multipliers'!$P$3:$Q$6,2,FALSE)),"")</f>
        <v/>
      </c>
      <c r="AH22" s="376" t="str">
        <f t="shared" si="7"/>
        <v/>
      </c>
      <c r="AI22" s="188"/>
      <c r="AJ22" s="118"/>
      <c r="AK22" s="120"/>
      <c r="AT22" s="30" t="str">
        <f>IFERROR(INDEX('G-6 Hedgerow Data'!$BJ$3:$BJ$15,MATCH(M22,'G-6 Hedgerow Data'!$B$3:$B$15,0)),"")</f>
        <v/>
      </c>
    </row>
    <row r="23" spans="2:46" ht="13.8" x14ac:dyDescent="0.25">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t="str">
        <f t="shared" si="0"/>
        <v/>
      </c>
      <c r="N23" s="362" t="str">
        <f>IFERROR(IF(B23="","",INDEX('G-6 Hedgerow Data'!$AN$3:$AZ$15,MATCH(C23,'G-6 Hedgerow Data'!$AM$3:$AM$15,0),MATCH(M23,'G-6 Hedgerow Data'!$AN$2:$AZ$2,0))),"")</f>
        <v/>
      </c>
      <c r="O23" s="363" t="str">
        <f t="shared" si="2"/>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70" t="str">
        <f t="shared" si="5"/>
        <v/>
      </c>
      <c r="AF23" s="370" t="str">
        <f t="shared" si="6"/>
        <v/>
      </c>
      <c r="AG23" s="386" t="str">
        <f>IFERROR(IF(O23="","",VLOOKUP(AD23,'G-3 Multipliers'!$P$3:$Q$6,2,FALSE)),"")</f>
        <v/>
      </c>
      <c r="AH23" s="376" t="str">
        <f t="shared" si="7"/>
        <v/>
      </c>
      <c r="AI23" s="188"/>
      <c r="AJ23" s="118"/>
      <c r="AK23" s="120"/>
      <c r="AT23" s="30" t="str">
        <f>IFERROR(INDEX('G-6 Hedgerow Data'!$BJ$3:$BJ$15,MATCH(M23,'G-6 Hedgerow Data'!$B$3:$B$15,0)),"")</f>
        <v/>
      </c>
    </row>
    <row r="24" spans="2:46" ht="13.8" x14ac:dyDescent="0.25">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t="str">
        <f t="shared" si="0"/>
        <v/>
      </c>
      <c r="N24" s="362" t="str">
        <f>IFERROR(IF(B24="","",INDEX('G-6 Hedgerow Data'!$AN$3:$AZ$15,MATCH(C24,'G-6 Hedgerow Data'!$AM$3:$AM$15,0),MATCH(M24,'G-6 Hedgerow Data'!$AN$2:$AZ$2,0))),"")</f>
        <v/>
      </c>
      <c r="O24" s="363" t="str">
        <f t="shared" si="2"/>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70" t="str">
        <f t="shared" si="5"/>
        <v/>
      </c>
      <c r="AF24" s="370" t="str">
        <f t="shared" si="6"/>
        <v/>
      </c>
      <c r="AG24" s="386" t="str">
        <f>IFERROR(IF(O24="","",VLOOKUP(AD24,'G-3 Multipliers'!$P$3:$Q$6,2,FALSE)),"")</f>
        <v/>
      </c>
      <c r="AH24" s="376" t="str">
        <f t="shared" si="7"/>
        <v/>
      </c>
      <c r="AI24" s="188"/>
      <c r="AJ24" s="118"/>
      <c r="AK24" s="120"/>
      <c r="AT24" s="30" t="str">
        <f>IFERROR(INDEX('G-6 Hedgerow Data'!$BJ$3:$BJ$15,MATCH(M24,'G-6 Hedgerow Data'!$B$3:$B$15,0)),"")</f>
        <v/>
      </c>
    </row>
    <row r="25" spans="2:46" ht="13.8" x14ac:dyDescent="0.25">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t="str">
        <f t="shared" si="0"/>
        <v/>
      </c>
      <c r="N25" s="362" t="str">
        <f>IFERROR(IF(B25="","",INDEX('G-6 Hedgerow Data'!$AN$3:$AZ$15,MATCH(C25,'G-6 Hedgerow Data'!$AM$3:$AM$15,0),MATCH(M25,'G-6 Hedgerow Data'!$AN$2:$AZ$2,0))),"")</f>
        <v/>
      </c>
      <c r="O25" s="363" t="str">
        <f t="shared" si="2"/>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70" t="str">
        <f t="shared" si="5"/>
        <v/>
      </c>
      <c r="AF25" s="370" t="str">
        <f t="shared" si="6"/>
        <v/>
      </c>
      <c r="AG25" s="386" t="str">
        <f>IFERROR(IF(O25="","",VLOOKUP(AD25,'G-3 Multipliers'!$P$3:$Q$6,2,FALSE)),"")</f>
        <v/>
      </c>
      <c r="AH25" s="376" t="str">
        <f t="shared" si="7"/>
        <v/>
      </c>
      <c r="AI25" s="188"/>
      <c r="AJ25" s="118"/>
      <c r="AK25" s="120"/>
      <c r="AT25" s="30" t="str">
        <f>IFERROR(INDEX('G-6 Hedgerow Data'!$BJ$3:$BJ$15,MATCH(M25,'G-6 Hedgerow Data'!$B$3:$B$15,0)),"")</f>
        <v/>
      </c>
    </row>
    <row r="26" spans="2:46" ht="13.8" x14ac:dyDescent="0.25">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t="str">
        <f t="shared" si="0"/>
        <v/>
      </c>
      <c r="N26" s="362" t="str">
        <f>IFERROR(IF(B26="","",INDEX('G-6 Hedgerow Data'!$AN$3:$AZ$15,MATCH(C26,'G-6 Hedgerow Data'!$AM$3:$AM$15,0),MATCH(M26,'G-6 Hedgerow Data'!$AN$2:$AZ$2,0))),"")</f>
        <v/>
      </c>
      <c r="O26" s="363" t="str">
        <f t="shared" si="2"/>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70" t="str">
        <f t="shared" si="5"/>
        <v/>
      </c>
      <c r="AF26" s="370" t="str">
        <f t="shared" si="6"/>
        <v/>
      </c>
      <c r="AG26" s="386" t="str">
        <f>IFERROR(IF(O26="","",VLOOKUP(AD26,'G-3 Multipliers'!$P$3:$Q$6,2,FALSE)),"")</f>
        <v/>
      </c>
      <c r="AH26" s="376" t="str">
        <f t="shared" si="7"/>
        <v/>
      </c>
      <c r="AI26" s="188"/>
      <c r="AJ26" s="118"/>
      <c r="AK26" s="120"/>
      <c r="AT26" s="30" t="str">
        <f>IFERROR(INDEX('G-6 Hedgerow Data'!$BJ$3:$BJ$15,MATCH(M26,'G-6 Hedgerow Data'!$B$3:$B$15,0)),"")</f>
        <v/>
      </c>
    </row>
    <row r="27" spans="2:46" ht="13.8" x14ac:dyDescent="0.25">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t="str">
        <f t="shared" si="0"/>
        <v/>
      </c>
      <c r="N27" s="362" t="str">
        <f>IFERROR(IF(B27="","",INDEX('G-6 Hedgerow Data'!$AN$3:$AZ$15,MATCH(C27,'G-6 Hedgerow Data'!$AM$3:$AM$15,0),MATCH(M27,'G-6 Hedgerow Data'!$AN$2:$AZ$2,0))),"")</f>
        <v/>
      </c>
      <c r="O27" s="363" t="str">
        <f t="shared" si="2"/>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70" t="str">
        <f t="shared" si="5"/>
        <v/>
      </c>
      <c r="AF27" s="370" t="str">
        <f t="shared" si="6"/>
        <v/>
      </c>
      <c r="AG27" s="386" t="str">
        <f>IFERROR(IF(O27="","",VLOOKUP(AD27,'G-3 Multipliers'!$P$3:$Q$6,2,FALSE)),"")</f>
        <v/>
      </c>
      <c r="AH27" s="376" t="str">
        <f t="shared" si="7"/>
        <v/>
      </c>
      <c r="AI27" s="188"/>
      <c r="AJ27" s="118"/>
      <c r="AK27" s="120"/>
      <c r="AT27" s="30" t="str">
        <f>IFERROR(INDEX('G-6 Hedgerow Data'!$BJ$3:$BJ$15,MATCH(M27,'G-6 Hedgerow Data'!$B$3:$B$15,0)),"")</f>
        <v/>
      </c>
    </row>
    <row r="28" spans="2:46" ht="13.8" x14ac:dyDescent="0.25">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t="str">
        <f t="shared" si="0"/>
        <v/>
      </c>
      <c r="N28" s="362" t="str">
        <f>IFERROR(IF(B28="","",INDEX('G-6 Hedgerow Data'!$AN$3:$AZ$15,MATCH(C28,'G-6 Hedgerow Data'!$AM$3:$AM$15,0),MATCH(M28,'G-6 Hedgerow Data'!$AN$2:$AZ$2,0))),"")</f>
        <v/>
      </c>
      <c r="O28" s="363" t="str">
        <f t="shared" si="2"/>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70" t="str">
        <f t="shared" si="5"/>
        <v/>
      </c>
      <c r="AF28" s="370" t="str">
        <f t="shared" si="6"/>
        <v/>
      </c>
      <c r="AG28" s="386" t="str">
        <f>IFERROR(IF(O28="","",VLOOKUP(AD28,'G-3 Multipliers'!$P$3:$Q$6,2,FALSE)),"")</f>
        <v/>
      </c>
      <c r="AH28" s="376" t="str">
        <f t="shared" si="7"/>
        <v/>
      </c>
      <c r="AI28" s="188"/>
      <c r="AJ28" s="118"/>
      <c r="AK28" s="120"/>
      <c r="AT28" s="30" t="str">
        <f>IFERROR(INDEX('G-6 Hedgerow Data'!$BJ$3:$BJ$15,MATCH(M28,'G-6 Hedgerow Data'!$B$3:$B$15,0)),"")</f>
        <v/>
      </c>
    </row>
    <row r="29" spans="2:46" ht="13.8" x14ac:dyDescent="0.25">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t="str">
        <f t="shared" si="0"/>
        <v/>
      </c>
      <c r="N29" s="362" t="str">
        <f>IFERROR(IF(B29="","",INDEX('G-6 Hedgerow Data'!$AN$3:$AZ$15,MATCH(C29,'G-6 Hedgerow Data'!$AM$3:$AM$15,0),MATCH(M29,'G-6 Hedgerow Data'!$AN$2:$AZ$2,0))),"")</f>
        <v/>
      </c>
      <c r="O29" s="363" t="str">
        <f t="shared" si="2"/>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70" t="str">
        <f t="shared" si="5"/>
        <v/>
      </c>
      <c r="AF29" s="370" t="str">
        <f t="shared" si="6"/>
        <v/>
      </c>
      <c r="AG29" s="386" t="str">
        <f>IFERROR(IF(O29="","",VLOOKUP(AD29,'G-3 Multipliers'!$P$3:$Q$6,2,FALSE)),"")</f>
        <v/>
      </c>
      <c r="AH29" s="376" t="str">
        <f t="shared" si="7"/>
        <v/>
      </c>
      <c r="AI29" s="188"/>
      <c r="AJ29" s="118"/>
      <c r="AK29" s="120"/>
      <c r="AT29" s="30" t="str">
        <f>IFERROR(INDEX('G-6 Hedgerow Data'!$BJ$3:$BJ$15,MATCH(M29,'G-6 Hedgerow Data'!$B$3:$B$15,0)),"")</f>
        <v/>
      </c>
    </row>
    <row r="30" spans="2:46" ht="13.8" x14ac:dyDescent="0.25">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t="str">
        <f t="shared" si="0"/>
        <v/>
      </c>
      <c r="N30" s="362" t="str">
        <f>IFERROR(IF(B30="","",INDEX('G-6 Hedgerow Data'!$AN$3:$AZ$15,MATCH(C30,'G-6 Hedgerow Data'!$AM$3:$AM$15,0),MATCH(M30,'G-6 Hedgerow Data'!$AN$2:$AZ$2,0))),"")</f>
        <v/>
      </c>
      <c r="O30" s="363" t="str">
        <f t="shared" si="2"/>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70" t="str">
        <f t="shared" si="5"/>
        <v/>
      </c>
      <c r="AF30" s="370" t="str">
        <f t="shared" si="6"/>
        <v/>
      </c>
      <c r="AG30" s="386" t="str">
        <f>IFERROR(IF(O30="","",VLOOKUP(AD30,'G-3 Multipliers'!$P$3:$Q$6,2,FALSE)),"")</f>
        <v/>
      </c>
      <c r="AH30" s="376" t="str">
        <f t="shared" si="7"/>
        <v/>
      </c>
      <c r="AI30" s="188"/>
      <c r="AJ30" s="118"/>
      <c r="AK30" s="120"/>
      <c r="AT30" s="30" t="str">
        <f>IFERROR(INDEX('G-6 Hedgerow Data'!$BJ$3:$BJ$15,MATCH(M30,'G-6 Hedgerow Data'!$B$3:$B$15,0)),"")</f>
        <v/>
      </c>
    </row>
    <row r="31" spans="2:46" ht="13.8" x14ac:dyDescent="0.25">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t="str">
        <f t="shared" si="0"/>
        <v/>
      </c>
      <c r="N31" s="362" t="str">
        <f>IFERROR(IF(B31="","",INDEX('G-6 Hedgerow Data'!$AN$3:$AZ$15,MATCH(C31,'G-6 Hedgerow Data'!$AM$3:$AM$15,0),MATCH(M31,'G-6 Hedgerow Data'!$AN$2:$AZ$2,0))),"")</f>
        <v/>
      </c>
      <c r="O31" s="363" t="str">
        <f t="shared" si="2"/>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70" t="str">
        <f t="shared" si="5"/>
        <v/>
      </c>
      <c r="AF31" s="370" t="str">
        <f t="shared" si="6"/>
        <v/>
      </c>
      <c r="AG31" s="386" t="str">
        <f>IFERROR(IF(O31="","",VLOOKUP(AD31,'G-3 Multipliers'!$P$3:$Q$6,2,FALSE)),"")</f>
        <v/>
      </c>
      <c r="AH31" s="376" t="str">
        <f t="shared" si="7"/>
        <v/>
      </c>
      <c r="AI31" s="188"/>
      <c r="AJ31" s="118"/>
      <c r="AK31" s="120"/>
      <c r="AT31" s="30" t="str">
        <f>IFERROR(INDEX('G-6 Hedgerow Data'!$BJ$3:$BJ$15,MATCH(M31,'G-6 Hedgerow Data'!$B$3:$B$15,0)),"")</f>
        <v/>
      </c>
    </row>
    <row r="32" spans="2:46" ht="13.8" x14ac:dyDescent="0.25">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t="str">
        <f t="shared" si="0"/>
        <v/>
      </c>
      <c r="N32" s="362" t="str">
        <f>IFERROR(IF(B32="","",INDEX('G-6 Hedgerow Data'!$AN$3:$AZ$15,MATCH(C32,'G-6 Hedgerow Data'!$AM$3:$AM$15,0),MATCH(M32,'G-6 Hedgerow Data'!$AN$2:$AZ$2,0))),"")</f>
        <v/>
      </c>
      <c r="O32" s="363" t="str">
        <f t="shared" si="2"/>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70" t="str">
        <f t="shared" si="5"/>
        <v/>
      </c>
      <c r="AF32" s="370" t="str">
        <f t="shared" si="6"/>
        <v/>
      </c>
      <c r="AG32" s="386" t="str">
        <f>IFERROR(IF(O32="","",VLOOKUP(AD32,'G-3 Multipliers'!$P$3:$Q$6,2,FALSE)),"")</f>
        <v/>
      </c>
      <c r="AH32" s="376" t="str">
        <f t="shared" si="7"/>
        <v/>
      </c>
      <c r="AI32" s="188"/>
      <c r="AJ32" s="118"/>
      <c r="AK32" s="120"/>
      <c r="AT32" s="30" t="str">
        <f>IFERROR(INDEX('G-6 Hedgerow Data'!$BJ$3:$BJ$15,MATCH(M32,'G-6 Hedgerow Data'!$B$3:$B$15,0)),"")</f>
        <v/>
      </c>
    </row>
    <row r="33" spans="2:46" ht="13.8" x14ac:dyDescent="0.25">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t="str">
        <f t="shared" si="0"/>
        <v/>
      </c>
      <c r="N33" s="362" t="str">
        <f>IFERROR(IF(B33="","",INDEX('G-6 Hedgerow Data'!$AN$3:$AZ$15,MATCH(C33,'G-6 Hedgerow Data'!$AM$3:$AM$15,0),MATCH(M33,'G-6 Hedgerow Data'!$AN$2:$AZ$2,0))),"")</f>
        <v/>
      </c>
      <c r="O33" s="363" t="str">
        <f t="shared" si="2"/>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70" t="str">
        <f t="shared" si="5"/>
        <v/>
      </c>
      <c r="AF33" s="370" t="str">
        <f t="shared" si="6"/>
        <v/>
      </c>
      <c r="AG33" s="386" t="str">
        <f>IFERROR(IF(O33="","",VLOOKUP(AD33,'G-3 Multipliers'!$P$3:$Q$6,2,FALSE)),"")</f>
        <v/>
      </c>
      <c r="AH33" s="376" t="str">
        <f t="shared" si="7"/>
        <v/>
      </c>
      <c r="AI33" s="188"/>
      <c r="AJ33" s="118"/>
      <c r="AK33" s="120"/>
      <c r="AT33" s="30" t="str">
        <f>IFERROR(INDEX('G-6 Hedgerow Data'!$BJ$3:$BJ$15,MATCH(M33,'G-6 Hedgerow Data'!$B$3:$B$15,0)),"")</f>
        <v/>
      </c>
    </row>
    <row r="34" spans="2:46" ht="13.8" x14ac:dyDescent="0.25">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t="str">
        <f t="shared" si="0"/>
        <v/>
      </c>
      <c r="N34" s="362" t="str">
        <f>IFERROR(IF(B34="","",INDEX('G-6 Hedgerow Data'!$AN$3:$AZ$15,MATCH(C34,'G-6 Hedgerow Data'!$AM$3:$AM$15,0),MATCH(M34,'G-6 Hedgerow Data'!$AN$2:$AZ$2,0))),"")</f>
        <v/>
      </c>
      <c r="O34" s="363" t="str">
        <f t="shared" si="2"/>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70" t="str">
        <f t="shared" si="5"/>
        <v/>
      </c>
      <c r="AF34" s="370" t="str">
        <f t="shared" si="6"/>
        <v/>
      </c>
      <c r="AG34" s="386" t="str">
        <f>IFERROR(IF(O34="","",VLOOKUP(AD34,'G-3 Multipliers'!$P$3:$Q$6,2,FALSE)),"")</f>
        <v/>
      </c>
      <c r="AH34" s="376" t="str">
        <f t="shared" si="7"/>
        <v/>
      </c>
      <c r="AI34" s="188"/>
      <c r="AJ34" s="118"/>
      <c r="AK34" s="120"/>
      <c r="AT34" s="30" t="str">
        <f>IFERROR(INDEX('G-6 Hedgerow Data'!$BJ$3:$BJ$15,MATCH(M34,'G-6 Hedgerow Data'!$B$3:$B$15,0)),"")</f>
        <v/>
      </c>
    </row>
    <row r="35" spans="2:46" ht="13.8" x14ac:dyDescent="0.25">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t="str">
        <f t="shared" si="0"/>
        <v/>
      </c>
      <c r="N35" s="362" t="str">
        <f>IFERROR(IF(B35="","",INDEX('G-6 Hedgerow Data'!$AN$3:$AZ$15,MATCH(C35,'G-6 Hedgerow Data'!$AM$3:$AM$15,0),MATCH(M35,'G-6 Hedgerow Data'!$AN$2:$AZ$2,0))),"")</f>
        <v/>
      </c>
      <c r="O35" s="363" t="str">
        <f t="shared" si="2"/>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70" t="str">
        <f t="shared" si="5"/>
        <v/>
      </c>
      <c r="AF35" s="370" t="str">
        <f t="shared" si="6"/>
        <v/>
      </c>
      <c r="AG35" s="386" t="str">
        <f>IFERROR(IF(O35="","",VLOOKUP(AD35,'G-3 Multipliers'!$P$3:$Q$6,2,FALSE)),"")</f>
        <v/>
      </c>
      <c r="AH35" s="376" t="str">
        <f t="shared" si="7"/>
        <v/>
      </c>
      <c r="AI35" s="188"/>
      <c r="AJ35" s="118"/>
      <c r="AK35" s="120"/>
      <c r="AT35" s="30" t="str">
        <f>IFERROR(INDEX('G-6 Hedgerow Data'!$BJ$3:$BJ$15,MATCH(M35,'G-6 Hedgerow Data'!$B$3:$B$15,0)),"")</f>
        <v/>
      </c>
    </row>
    <row r="36" spans="2:46" ht="13.8" x14ac:dyDescent="0.25">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t="str">
        <f t="shared" si="0"/>
        <v/>
      </c>
      <c r="N36" s="362" t="str">
        <f>IFERROR(IF(B36="","",INDEX('G-6 Hedgerow Data'!$AN$3:$AZ$15,MATCH(C36,'G-6 Hedgerow Data'!$AM$3:$AM$15,0),MATCH(M36,'G-6 Hedgerow Data'!$AN$2:$AZ$2,0))),"")</f>
        <v/>
      </c>
      <c r="O36" s="363" t="str">
        <f t="shared" si="2"/>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70" t="str">
        <f t="shared" si="5"/>
        <v/>
      </c>
      <c r="AF36" s="370" t="str">
        <f t="shared" si="6"/>
        <v/>
      </c>
      <c r="AG36" s="386" t="str">
        <f>IFERROR(IF(O36="","",VLOOKUP(AD36,'G-3 Multipliers'!$P$3:$Q$6,2,FALSE)),"")</f>
        <v/>
      </c>
      <c r="AH36" s="376" t="str">
        <f t="shared" si="7"/>
        <v/>
      </c>
      <c r="AI36" s="188"/>
      <c r="AJ36" s="118"/>
      <c r="AK36" s="120"/>
      <c r="AT36" s="30" t="str">
        <f>IFERROR(INDEX('G-6 Hedgerow Data'!$BJ$3:$BJ$15,MATCH(M36,'G-6 Hedgerow Data'!$B$3:$B$15,0)),"")</f>
        <v/>
      </c>
    </row>
    <row r="37" spans="2:46" ht="13.8" x14ac:dyDescent="0.25">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t="str">
        <f t="shared" si="0"/>
        <v/>
      </c>
      <c r="N37" s="362" t="str">
        <f>IFERROR(IF(B37="","",INDEX('G-6 Hedgerow Data'!$AN$3:$AZ$15,MATCH(C37,'G-6 Hedgerow Data'!$AM$3:$AM$15,0),MATCH(M37,'G-6 Hedgerow Data'!$AN$2:$AZ$2,0))),"")</f>
        <v/>
      </c>
      <c r="O37" s="363" t="str">
        <f t="shared" si="2"/>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70" t="str">
        <f t="shared" si="5"/>
        <v/>
      </c>
      <c r="AF37" s="370" t="str">
        <f t="shared" si="6"/>
        <v/>
      </c>
      <c r="AG37" s="386" t="str">
        <f>IFERROR(IF(O37="","",VLOOKUP(AD37,'G-3 Multipliers'!$P$3:$Q$6,2,FALSE)),"")</f>
        <v/>
      </c>
      <c r="AH37" s="376" t="str">
        <f t="shared" si="7"/>
        <v/>
      </c>
      <c r="AI37" s="188"/>
      <c r="AJ37" s="118"/>
      <c r="AK37" s="120"/>
      <c r="AT37" s="30" t="str">
        <f>IFERROR(INDEX('G-6 Hedgerow Data'!$BJ$3:$BJ$15,MATCH(M37,'G-6 Hedgerow Data'!$B$3:$B$15,0)),"")</f>
        <v/>
      </c>
    </row>
    <row r="38" spans="2:46" ht="13.8" x14ac:dyDescent="0.25">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t="str">
        <f t="shared" si="0"/>
        <v/>
      </c>
      <c r="N38" s="362" t="str">
        <f>IFERROR(IF(B38="","",INDEX('G-6 Hedgerow Data'!$AN$3:$AZ$15,MATCH(C38,'G-6 Hedgerow Data'!$AM$3:$AM$15,0),MATCH(M38,'G-6 Hedgerow Data'!$AN$2:$AZ$2,0))),"")</f>
        <v/>
      </c>
      <c r="O38" s="363" t="str">
        <f t="shared" si="2"/>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70" t="str">
        <f t="shared" si="5"/>
        <v/>
      </c>
      <c r="AF38" s="370" t="str">
        <f t="shared" si="6"/>
        <v/>
      </c>
      <c r="AG38" s="386" t="str">
        <f>IFERROR(IF(O38="","",VLOOKUP(AD38,'G-3 Multipliers'!$P$3:$Q$6,2,FALSE)),"")</f>
        <v/>
      </c>
      <c r="AH38" s="376" t="str">
        <f t="shared" si="7"/>
        <v/>
      </c>
      <c r="AI38" s="188"/>
      <c r="AJ38" s="118"/>
      <c r="AK38" s="120"/>
      <c r="AT38" s="30" t="str">
        <f>IFERROR(INDEX('G-6 Hedgerow Data'!$BJ$3:$BJ$15,MATCH(M38,'G-6 Hedgerow Data'!$B$3:$B$15,0)),"")</f>
        <v/>
      </c>
    </row>
    <row r="39" spans="2:46" ht="13.8" x14ac:dyDescent="0.25">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t="str">
        <f t="shared" si="0"/>
        <v/>
      </c>
      <c r="N39" s="362" t="str">
        <f>IFERROR(IF(B39="","",INDEX('G-6 Hedgerow Data'!$AN$3:$AZ$15,MATCH(C39,'G-6 Hedgerow Data'!$AM$3:$AM$15,0),MATCH(M39,'G-6 Hedgerow Data'!$AN$2:$AZ$2,0))),"")</f>
        <v/>
      </c>
      <c r="O39" s="363" t="str">
        <f t="shared" si="2"/>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70" t="str">
        <f t="shared" si="5"/>
        <v/>
      </c>
      <c r="AF39" s="370" t="str">
        <f t="shared" si="6"/>
        <v/>
      </c>
      <c r="AG39" s="386" t="str">
        <f>IFERROR(IF(O39="","",VLOOKUP(AD39,'G-3 Multipliers'!$P$3:$Q$6,2,FALSE)),"")</f>
        <v/>
      </c>
      <c r="AH39" s="376" t="str">
        <f t="shared" si="7"/>
        <v/>
      </c>
      <c r="AI39" s="188"/>
      <c r="AJ39" s="118"/>
      <c r="AK39" s="120"/>
      <c r="AT39" s="30" t="str">
        <f>IFERROR(INDEX('G-6 Hedgerow Data'!$BJ$3:$BJ$15,MATCH(M39,'G-6 Hedgerow Data'!$B$3:$B$15,0)),"")</f>
        <v/>
      </c>
    </row>
    <row r="40" spans="2:46" ht="13.8" x14ac:dyDescent="0.25">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t="str">
        <f t="shared" si="0"/>
        <v/>
      </c>
      <c r="N40" s="362" t="str">
        <f>IFERROR(IF(B40="","",INDEX('G-6 Hedgerow Data'!$AN$3:$AZ$15,MATCH(C40,'G-6 Hedgerow Data'!$AM$3:$AM$15,0),MATCH(M40,'G-6 Hedgerow Data'!$AN$2:$AZ$2,0))),"")</f>
        <v/>
      </c>
      <c r="O40" s="363" t="str">
        <f t="shared" si="2"/>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70" t="str">
        <f t="shared" si="5"/>
        <v/>
      </c>
      <c r="AF40" s="370" t="str">
        <f t="shared" si="6"/>
        <v/>
      </c>
      <c r="AG40" s="386" t="str">
        <f>IFERROR(IF(O40="","",VLOOKUP(AD40,'G-3 Multipliers'!$P$3:$Q$6,2,FALSE)),"")</f>
        <v/>
      </c>
      <c r="AH40" s="376" t="str">
        <f t="shared" si="7"/>
        <v/>
      </c>
      <c r="AI40" s="188"/>
      <c r="AJ40" s="118"/>
      <c r="AK40" s="120"/>
      <c r="AT40" s="30" t="str">
        <f>IFERROR(INDEX('G-6 Hedgerow Data'!$BJ$3:$BJ$15,MATCH(M40,'G-6 Hedgerow Data'!$B$3:$B$15,0)),"")</f>
        <v/>
      </c>
    </row>
    <row r="41" spans="2:46" ht="13.8" x14ac:dyDescent="0.25">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t="str">
        <f t="shared" si="0"/>
        <v/>
      </c>
      <c r="N41" s="362" t="str">
        <f>IFERROR(IF(B41="","",INDEX('G-6 Hedgerow Data'!$AN$3:$AZ$15,MATCH(C41,'G-6 Hedgerow Data'!$AM$3:$AM$15,0),MATCH(M41,'G-6 Hedgerow Data'!$AN$2:$AZ$2,0))),"")</f>
        <v/>
      </c>
      <c r="O41" s="363" t="str">
        <f t="shared" si="2"/>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70" t="str">
        <f t="shared" si="5"/>
        <v/>
      </c>
      <c r="AF41" s="370" t="str">
        <f t="shared" si="6"/>
        <v/>
      </c>
      <c r="AG41" s="386" t="str">
        <f>IFERROR(IF(O41="","",VLOOKUP(AD41,'G-3 Multipliers'!$P$3:$Q$6,2,FALSE)),"")</f>
        <v/>
      </c>
      <c r="AH41" s="376" t="str">
        <f t="shared" si="7"/>
        <v/>
      </c>
      <c r="AI41" s="188"/>
      <c r="AJ41" s="118"/>
      <c r="AK41" s="120"/>
      <c r="AT41" s="30" t="str">
        <f>IFERROR(INDEX('G-6 Hedgerow Data'!$BJ$3:$BJ$15,MATCH(M41,'G-6 Hedgerow Data'!$B$3:$B$15,0)),"")</f>
        <v/>
      </c>
    </row>
    <row r="42" spans="2:46" ht="13.8" x14ac:dyDescent="0.25">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t="str">
        <f t="shared" si="0"/>
        <v/>
      </c>
      <c r="N42" s="362" t="str">
        <f>IFERROR(IF(B42="","",INDEX('G-6 Hedgerow Data'!$AN$3:$AZ$15,MATCH(C42,'G-6 Hedgerow Data'!$AM$3:$AM$15,0),MATCH(M42,'G-6 Hedgerow Data'!$AN$2:$AZ$2,0))),"")</f>
        <v/>
      </c>
      <c r="O42" s="363" t="str">
        <f t="shared" si="2"/>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70" t="str">
        <f t="shared" si="5"/>
        <v/>
      </c>
      <c r="AF42" s="370" t="str">
        <f t="shared" si="6"/>
        <v/>
      </c>
      <c r="AG42" s="386" t="str">
        <f>IFERROR(IF(O42="","",VLOOKUP(AD42,'G-3 Multipliers'!$P$3:$Q$6,2,FALSE)),"")</f>
        <v/>
      </c>
      <c r="AH42" s="376" t="str">
        <f t="shared" si="7"/>
        <v/>
      </c>
      <c r="AI42" s="188"/>
      <c r="AJ42" s="118"/>
      <c r="AK42" s="120"/>
      <c r="AT42" s="30" t="str">
        <f>IFERROR(INDEX('G-6 Hedgerow Data'!$BJ$3:$BJ$15,MATCH(M42,'G-6 Hedgerow Data'!$B$3:$B$15,0)),"")</f>
        <v/>
      </c>
    </row>
    <row r="43" spans="2:46" ht="13.8" x14ac:dyDescent="0.25">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t="str">
        <f t="shared" si="0"/>
        <v/>
      </c>
      <c r="N43" s="362" t="str">
        <f>IFERROR(IF(B43="","",INDEX('G-6 Hedgerow Data'!$AN$3:$AZ$15,MATCH(C43,'G-6 Hedgerow Data'!$AM$3:$AM$15,0),MATCH(M43,'G-6 Hedgerow Data'!$AN$2:$AZ$2,0))),"")</f>
        <v/>
      </c>
      <c r="O43" s="363" t="str">
        <f t="shared" si="2"/>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70" t="str">
        <f t="shared" si="5"/>
        <v/>
      </c>
      <c r="AF43" s="370" t="str">
        <f t="shared" si="6"/>
        <v/>
      </c>
      <c r="AG43" s="386" t="str">
        <f>IFERROR(IF(O43="","",VLOOKUP(AD43,'G-3 Multipliers'!$P$3:$Q$6,2,FALSE)),"")</f>
        <v/>
      </c>
      <c r="AH43" s="376" t="str">
        <f t="shared" si="7"/>
        <v/>
      </c>
      <c r="AI43" s="188"/>
      <c r="AJ43" s="118"/>
      <c r="AK43" s="120"/>
      <c r="AT43" s="30" t="str">
        <f>IFERROR(INDEX('G-6 Hedgerow Data'!$BJ$3:$BJ$15,MATCH(M43,'G-6 Hedgerow Data'!$B$3:$B$15,0)),"")</f>
        <v/>
      </c>
    </row>
    <row r="44" spans="2:46" ht="13.8" x14ac:dyDescent="0.25">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t="str">
        <f t="shared" si="0"/>
        <v/>
      </c>
      <c r="N44" s="362" t="str">
        <f>IFERROR(IF(B44="","",INDEX('G-6 Hedgerow Data'!$AN$3:$AZ$15,MATCH(C44,'G-6 Hedgerow Data'!$AM$3:$AM$15,0),MATCH(M44,'G-6 Hedgerow Data'!$AN$2:$AZ$2,0))),"")</f>
        <v/>
      </c>
      <c r="O44" s="363" t="str">
        <f t="shared" si="2"/>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70" t="str">
        <f t="shared" si="5"/>
        <v/>
      </c>
      <c r="AF44" s="370" t="str">
        <f t="shared" si="6"/>
        <v/>
      </c>
      <c r="AG44" s="386" t="str">
        <f>IFERROR(IF(O44="","",VLOOKUP(AD44,'G-3 Multipliers'!$P$3:$Q$6,2,FALSE)),"")</f>
        <v/>
      </c>
      <c r="AH44" s="376" t="str">
        <f t="shared" si="7"/>
        <v/>
      </c>
      <c r="AI44" s="188"/>
      <c r="AJ44" s="118"/>
      <c r="AK44" s="120"/>
      <c r="AT44" s="30" t="str">
        <f>IFERROR(INDEX('G-6 Hedgerow Data'!$BJ$3:$BJ$15,MATCH(M44,'G-6 Hedgerow Data'!$B$3:$B$15,0)),"")</f>
        <v/>
      </c>
    </row>
    <row r="45" spans="2:46" ht="13.8" x14ac:dyDescent="0.25">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t="str">
        <f t="shared" si="0"/>
        <v/>
      </c>
      <c r="N45" s="362" t="str">
        <f>IFERROR(IF(B45="","",INDEX('G-6 Hedgerow Data'!$AN$3:$AZ$15,MATCH(C45,'G-6 Hedgerow Data'!$AM$3:$AM$15,0),MATCH(M45,'G-6 Hedgerow Data'!$AN$2:$AZ$2,0))),"")</f>
        <v/>
      </c>
      <c r="O45" s="363" t="str">
        <f t="shared" si="2"/>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70" t="str">
        <f t="shared" si="5"/>
        <v/>
      </c>
      <c r="AF45" s="370" t="str">
        <f t="shared" si="6"/>
        <v/>
      </c>
      <c r="AG45" s="386" t="str">
        <f>IFERROR(IF(O45="","",VLOOKUP(AD45,'G-3 Multipliers'!$P$3:$Q$6,2,FALSE)),"")</f>
        <v/>
      </c>
      <c r="AH45" s="376" t="str">
        <f t="shared" si="7"/>
        <v/>
      </c>
      <c r="AI45" s="188"/>
      <c r="AJ45" s="118"/>
      <c r="AK45" s="120"/>
      <c r="AT45" s="30" t="str">
        <f>IFERROR(INDEX('G-6 Hedgerow Data'!$BJ$3:$BJ$15,MATCH(M45,'G-6 Hedgerow Data'!$B$3:$B$15,0)),"")</f>
        <v/>
      </c>
    </row>
    <row r="46" spans="2:46" ht="13.8" x14ac:dyDescent="0.25">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t="str">
        <f t="shared" si="0"/>
        <v/>
      </c>
      <c r="N46" s="362" t="str">
        <f>IFERROR(IF(B46="","",INDEX('G-6 Hedgerow Data'!$AN$3:$AZ$15,MATCH(C46,'G-6 Hedgerow Data'!$AM$3:$AM$15,0),MATCH(M46,'G-6 Hedgerow Data'!$AN$2:$AZ$2,0))),"")</f>
        <v/>
      </c>
      <c r="O46" s="363" t="str">
        <f t="shared" si="2"/>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70" t="str">
        <f t="shared" si="5"/>
        <v/>
      </c>
      <c r="AF46" s="370" t="str">
        <f t="shared" si="6"/>
        <v/>
      </c>
      <c r="AG46" s="386" t="str">
        <f>IFERROR(IF(O46="","",VLOOKUP(AD46,'G-3 Multipliers'!$P$3:$Q$6,2,FALSE)),"")</f>
        <v/>
      </c>
      <c r="AH46" s="376" t="str">
        <f t="shared" si="7"/>
        <v/>
      </c>
      <c r="AI46" s="188"/>
      <c r="AJ46" s="118"/>
      <c r="AK46" s="120"/>
      <c r="AT46" s="30" t="str">
        <f>IFERROR(INDEX('G-6 Hedgerow Data'!$BJ$3:$BJ$15,MATCH(M46,'G-6 Hedgerow Data'!$B$3:$B$15,0)),"")</f>
        <v/>
      </c>
    </row>
    <row r="47" spans="2:46" ht="13.8" x14ac:dyDescent="0.25">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t="str">
        <f t="shared" si="0"/>
        <v/>
      </c>
      <c r="N47" s="362" t="str">
        <f>IFERROR(IF(B47="","",INDEX('G-6 Hedgerow Data'!$AN$3:$AZ$15,MATCH(C47,'G-6 Hedgerow Data'!$AM$3:$AM$15,0),MATCH(M47,'G-6 Hedgerow Data'!$AN$2:$AZ$2,0))),"")</f>
        <v/>
      </c>
      <c r="O47" s="363" t="str">
        <f t="shared" si="2"/>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70" t="str">
        <f t="shared" si="5"/>
        <v/>
      </c>
      <c r="AF47" s="370" t="str">
        <f t="shared" si="6"/>
        <v/>
      </c>
      <c r="AG47" s="386" t="str">
        <f>IFERROR(IF(O47="","",VLOOKUP(AD47,'G-3 Multipliers'!$P$3:$Q$6,2,FALSE)),"")</f>
        <v/>
      </c>
      <c r="AH47" s="376" t="str">
        <f t="shared" si="7"/>
        <v/>
      </c>
      <c r="AI47" s="188"/>
      <c r="AJ47" s="118"/>
      <c r="AK47" s="120"/>
      <c r="AT47" s="30" t="str">
        <f>IFERROR(INDEX('G-6 Hedgerow Data'!$BJ$3:$BJ$15,MATCH(M47,'G-6 Hedgerow Data'!$B$3:$B$15,0)),"")</f>
        <v/>
      </c>
    </row>
    <row r="48" spans="2:46" ht="13.8" x14ac:dyDescent="0.25">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t="str">
        <f t="shared" si="0"/>
        <v/>
      </c>
      <c r="N48" s="362" t="str">
        <f>IFERROR(IF(B48="","",INDEX('G-6 Hedgerow Data'!$AN$3:$AZ$15,MATCH(C48,'G-6 Hedgerow Data'!$AM$3:$AM$15,0),MATCH(M48,'G-6 Hedgerow Data'!$AN$2:$AZ$2,0))),"")</f>
        <v/>
      </c>
      <c r="O48" s="363" t="str">
        <f t="shared" si="2"/>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70" t="str">
        <f t="shared" si="5"/>
        <v/>
      </c>
      <c r="AF48" s="370" t="str">
        <f t="shared" si="6"/>
        <v/>
      </c>
      <c r="AG48" s="386" t="str">
        <f>IFERROR(IF(O48="","",VLOOKUP(AD48,'G-3 Multipliers'!$P$3:$Q$6,2,FALSE)),"")</f>
        <v/>
      </c>
      <c r="AH48" s="376" t="str">
        <f t="shared" si="7"/>
        <v/>
      </c>
      <c r="AI48" s="188"/>
      <c r="AJ48" s="118"/>
      <c r="AK48" s="120"/>
      <c r="AT48" s="30" t="str">
        <f>IFERROR(INDEX('G-6 Hedgerow Data'!$BJ$3:$BJ$15,MATCH(M48,'G-6 Hedgerow Data'!$B$3:$B$15,0)),"")</f>
        <v/>
      </c>
    </row>
    <row r="49" spans="2:46" ht="13.8" x14ac:dyDescent="0.25">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t="str">
        <f t="shared" si="0"/>
        <v/>
      </c>
      <c r="N49" s="362" t="str">
        <f>IFERROR(IF(B49="","",INDEX('G-6 Hedgerow Data'!$AN$3:$AZ$15,MATCH(C49,'G-6 Hedgerow Data'!$AM$3:$AM$15,0),MATCH(M49,'G-6 Hedgerow Data'!$AN$2:$AZ$2,0))),"")</f>
        <v/>
      </c>
      <c r="O49" s="363" t="str">
        <f t="shared" si="2"/>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70" t="str">
        <f t="shared" si="5"/>
        <v/>
      </c>
      <c r="AF49" s="370" t="str">
        <f t="shared" si="6"/>
        <v/>
      </c>
      <c r="AG49" s="386" t="str">
        <f>IFERROR(IF(O49="","",VLOOKUP(AD49,'G-3 Multipliers'!$P$3:$Q$6,2,FALSE)),"")</f>
        <v/>
      </c>
      <c r="AH49" s="376" t="str">
        <f t="shared" si="7"/>
        <v/>
      </c>
      <c r="AI49" s="188"/>
      <c r="AJ49" s="118"/>
      <c r="AK49" s="120"/>
      <c r="AT49" s="30" t="str">
        <f>IFERROR(INDEX('G-6 Hedgerow Data'!$BJ$3:$BJ$15,MATCH(M49,'G-6 Hedgerow Data'!$B$3:$B$15,0)),"")</f>
        <v/>
      </c>
    </row>
    <row r="50" spans="2:46" ht="13.8" x14ac:dyDescent="0.25">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t="str">
        <f t="shared" si="0"/>
        <v/>
      </c>
      <c r="N50" s="362" t="str">
        <f>IFERROR(IF(B50="","",INDEX('G-6 Hedgerow Data'!$AN$3:$AZ$15,MATCH(C50,'G-6 Hedgerow Data'!$AM$3:$AM$15,0),MATCH(M50,'G-6 Hedgerow Data'!$AN$2:$AZ$2,0))),"")</f>
        <v/>
      </c>
      <c r="O50" s="363" t="str">
        <f t="shared" si="2"/>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70" t="str">
        <f t="shared" si="5"/>
        <v/>
      </c>
      <c r="AF50" s="370" t="str">
        <f t="shared" si="6"/>
        <v/>
      </c>
      <c r="AG50" s="386" t="str">
        <f>IFERROR(IF(O50="","",VLOOKUP(AD50,'G-3 Multipliers'!$P$3:$Q$6,2,FALSE)),"")</f>
        <v/>
      </c>
      <c r="AH50" s="376" t="str">
        <f t="shared" si="7"/>
        <v/>
      </c>
      <c r="AI50" s="188"/>
      <c r="AJ50" s="118"/>
      <c r="AK50" s="120"/>
      <c r="AT50" s="30" t="str">
        <f>IFERROR(INDEX('G-6 Hedgerow Data'!$BJ$3:$BJ$15,MATCH(M50,'G-6 Hedgerow Data'!$B$3:$B$15,0)),"")</f>
        <v/>
      </c>
    </row>
    <row r="51" spans="2:46" ht="13.8" x14ac:dyDescent="0.25">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t="str">
        <f t="shared" si="0"/>
        <v/>
      </c>
      <c r="N51" s="362" t="str">
        <f>IFERROR(IF(B51="","",INDEX('G-6 Hedgerow Data'!$AN$3:$AZ$15,MATCH(C51,'G-6 Hedgerow Data'!$AM$3:$AM$15,0),MATCH(M51,'G-6 Hedgerow Data'!$AN$2:$AZ$2,0))),"")</f>
        <v/>
      </c>
      <c r="O51" s="363" t="str">
        <f t="shared" si="2"/>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70" t="str">
        <f t="shared" si="5"/>
        <v/>
      </c>
      <c r="AF51" s="370" t="str">
        <f t="shared" si="6"/>
        <v/>
      </c>
      <c r="AG51" s="386" t="str">
        <f>IFERROR(IF(O51="","",VLOOKUP(AD51,'G-3 Multipliers'!$P$3:$Q$6,2,FALSE)),"")</f>
        <v/>
      </c>
      <c r="AH51" s="376" t="str">
        <f t="shared" si="7"/>
        <v/>
      </c>
      <c r="AI51" s="188"/>
      <c r="AJ51" s="118"/>
      <c r="AK51" s="120"/>
      <c r="AT51" s="30" t="str">
        <f>IFERROR(INDEX('G-6 Hedgerow Data'!$BJ$3:$BJ$15,MATCH(M51,'G-6 Hedgerow Data'!$B$3:$B$15,0)),"")</f>
        <v/>
      </c>
    </row>
    <row r="52" spans="2:46" ht="13.8" x14ac:dyDescent="0.25">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t="str">
        <f t="shared" si="0"/>
        <v/>
      </c>
      <c r="N52" s="362" t="str">
        <f>IFERROR(IF(B52="","",INDEX('G-6 Hedgerow Data'!$AN$3:$AZ$15,MATCH(C52,'G-6 Hedgerow Data'!$AM$3:$AM$15,0),MATCH(M52,'G-6 Hedgerow Data'!$AN$2:$AZ$2,0))),"")</f>
        <v/>
      </c>
      <c r="O52" s="363" t="str">
        <f t="shared" si="2"/>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70" t="str">
        <f t="shared" si="5"/>
        <v/>
      </c>
      <c r="AF52" s="370" t="str">
        <f t="shared" si="6"/>
        <v/>
      </c>
      <c r="AG52" s="386" t="str">
        <f>IFERROR(IF(O52="","",VLOOKUP(AD52,'G-3 Multipliers'!$P$3:$Q$6,2,FALSE)),"")</f>
        <v/>
      </c>
      <c r="AH52" s="376" t="str">
        <f t="shared" si="7"/>
        <v/>
      </c>
      <c r="AI52" s="188"/>
      <c r="AJ52" s="118"/>
      <c r="AK52" s="120"/>
      <c r="AT52" s="30" t="str">
        <f>IFERROR(INDEX('G-6 Hedgerow Data'!$BJ$3:$BJ$15,MATCH(M52,'G-6 Hedgerow Data'!$B$3:$B$15,0)),"")</f>
        <v/>
      </c>
    </row>
    <row r="53" spans="2:46" ht="13.8" x14ac:dyDescent="0.25">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t="str">
        <f t="shared" si="0"/>
        <v/>
      </c>
      <c r="N53" s="362" t="str">
        <f>IFERROR(IF(B53="","",INDEX('G-6 Hedgerow Data'!$AN$3:$AZ$15,MATCH(C53,'G-6 Hedgerow Data'!$AM$3:$AM$15,0),MATCH(M53,'G-6 Hedgerow Data'!$AN$2:$AZ$2,0))),"")</f>
        <v/>
      </c>
      <c r="O53" s="363" t="str">
        <f t="shared" si="2"/>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70" t="str">
        <f t="shared" si="5"/>
        <v/>
      </c>
      <c r="AF53" s="370" t="str">
        <f t="shared" si="6"/>
        <v/>
      </c>
      <c r="AG53" s="386" t="str">
        <f>IFERROR(IF(O53="","",VLOOKUP(AD53,'G-3 Multipliers'!$P$3:$Q$6,2,FALSE)),"")</f>
        <v/>
      </c>
      <c r="AH53" s="376" t="str">
        <f t="shared" si="7"/>
        <v/>
      </c>
      <c r="AI53" s="188"/>
      <c r="AJ53" s="118"/>
      <c r="AK53" s="120"/>
      <c r="AT53" s="30" t="str">
        <f>IFERROR(INDEX('G-6 Hedgerow Data'!$BJ$3:$BJ$15,MATCH(M53,'G-6 Hedgerow Data'!$B$3:$B$15,0)),"")</f>
        <v/>
      </c>
    </row>
    <row r="54" spans="2:46" ht="13.8" x14ac:dyDescent="0.25">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t="str">
        <f t="shared" si="0"/>
        <v/>
      </c>
      <c r="N54" s="362" t="str">
        <f>IFERROR(IF(B54="","",INDEX('G-6 Hedgerow Data'!$AN$3:$AZ$15,MATCH(C54,'G-6 Hedgerow Data'!$AM$3:$AM$15,0),MATCH(M54,'G-6 Hedgerow Data'!$AN$2:$AZ$2,0))),"")</f>
        <v/>
      </c>
      <c r="O54" s="363" t="str">
        <f t="shared" si="2"/>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70" t="str">
        <f t="shared" si="5"/>
        <v/>
      </c>
      <c r="AF54" s="370" t="str">
        <f t="shared" si="6"/>
        <v/>
      </c>
      <c r="AG54" s="386" t="str">
        <f>IFERROR(IF(O54="","",VLOOKUP(AD54,'G-3 Multipliers'!$P$3:$Q$6,2,FALSE)),"")</f>
        <v/>
      </c>
      <c r="AH54" s="376" t="str">
        <f t="shared" si="7"/>
        <v/>
      </c>
      <c r="AI54" s="188"/>
      <c r="AJ54" s="118"/>
      <c r="AK54" s="120"/>
      <c r="AT54" s="30" t="str">
        <f>IFERROR(INDEX('G-6 Hedgerow Data'!$BJ$3:$BJ$15,MATCH(M54,'G-6 Hedgerow Data'!$B$3:$B$15,0)),"")</f>
        <v/>
      </c>
    </row>
    <row r="55" spans="2:46" ht="13.8" x14ac:dyDescent="0.25">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t="str">
        <f t="shared" si="0"/>
        <v/>
      </c>
      <c r="N55" s="362" t="str">
        <f>IFERROR(IF(B55="","",INDEX('G-6 Hedgerow Data'!$AN$3:$AZ$15,MATCH(C55,'G-6 Hedgerow Data'!$AM$3:$AM$15,0),MATCH(M55,'G-6 Hedgerow Data'!$AN$2:$AZ$2,0))),"")</f>
        <v/>
      </c>
      <c r="O55" s="363" t="str">
        <f t="shared" si="2"/>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70" t="str">
        <f t="shared" si="5"/>
        <v/>
      </c>
      <c r="AF55" s="370" t="str">
        <f t="shared" si="6"/>
        <v/>
      </c>
      <c r="AG55" s="386" t="str">
        <f>IFERROR(IF(O55="","",VLOOKUP(AD55,'G-3 Multipliers'!$P$3:$Q$6,2,FALSE)),"")</f>
        <v/>
      </c>
      <c r="AH55" s="376" t="str">
        <f t="shared" si="7"/>
        <v/>
      </c>
      <c r="AI55" s="188"/>
      <c r="AJ55" s="118"/>
      <c r="AK55" s="120"/>
      <c r="AT55" s="30" t="str">
        <f>IFERROR(INDEX('G-6 Hedgerow Data'!$BJ$3:$BJ$15,MATCH(M55,'G-6 Hedgerow Data'!$B$3:$B$15,0)),"")</f>
        <v/>
      </c>
    </row>
    <row r="56" spans="2:46" ht="13.8" x14ac:dyDescent="0.25">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t="str">
        <f t="shared" si="0"/>
        <v/>
      </c>
      <c r="N56" s="362" t="str">
        <f>IFERROR(IF(B56="","",INDEX('G-6 Hedgerow Data'!$AN$3:$AZ$15,MATCH(C56,'G-6 Hedgerow Data'!$AM$3:$AM$15,0),MATCH(M56,'G-6 Hedgerow Data'!$AN$2:$AZ$2,0))),"")</f>
        <v/>
      </c>
      <c r="O56" s="363" t="str">
        <f t="shared" si="2"/>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70" t="str">
        <f t="shared" si="5"/>
        <v/>
      </c>
      <c r="AF56" s="370" t="str">
        <f t="shared" si="6"/>
        <v/>
      </c>
      <c r="AG56" s="386" t="str">
        <f>IFERROR(IF(O56="","",VLOOKUP(AD56,'G-3 Multipliers'!$P$3:$Q$6,2,FALSE)),"")</f>
        <v/>
      </c>
      <c r="AH56" s="376" t="str">
        <f t="shared" si="7"/>
        <v/>
      </c>
      <c r="AI56" s="188"/>
      <c r="AJ56" s="118"/>
      <c r="AK56" s="120"/>
      <c r="AT56" s="30" t="str">
        <f>IFERROR(INDEX('G-6 Hedgerow Data'!$BJ$3:$BJ$15,MATCH(M56,'G-6 Hedgerow Data'!$B$3:$B$15,0)),"")</f>
        <v/>
      </c>
    </row>
    <row r="57" spans="2:46" ht="13.8" x14ac:dyDescent="0.25">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t="str">
        <f t="shared" si="0"/>
        <v/>
      </c>
      <c r="N57" s="362" t="str">
        <f>IFERROR(IF(B57="","",INDEX('G-6 Hedgerow Data'!$AN$3:$AZ$15,MATCH(C57,'G-6 Hedgerow Data'!$AM$3:$AM$15,0),MATCH(M57,'G-6 Hedgerow Data'!$AN$2:$AZ$2,0))),"")</f>
        <v/>
      </c>
      <c r="O57" s="363" t="str">
        <f t="shared" si="2"/>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70" t="str">
        <f t="shared" si="5"/>
        <v/>
      </c>
      <c r="AF57" s="370" t="str">
        <f t="shared" si="6"/>
        <v/>
      </c>
      <c r="AG57" s="386" t="str">
        <f>IFERROR(IF(O57="","",VLOOKUP(AD57,'G-3 Multipliers'!$P$3:$Q$6,2,FALSE)),"")</f>
        <v/>
      </c>
      <c r="AH57" s="376" t="str">
        <f t="shared" si="7"/>
        <v/>
      </c>
      <c r="AI57" s="188"/>
      <c r="AJ57" s="118"/>
      <c r="AK57" s="120"/>
      <c r="AT57" s="30" t="str">
        <f>IFERROR(INDEX('G-6 Hedgerow Data'!$BJ$3:$BJ$15,MATCH(M57,'G-6 Hedgerow Data'!$B$3:$B$15,0)),"")</f>
        <v/>
      </c>
    </row>
    <row r="58" spans="2:46" ht="13.8" x14ac:dyDescent="0.25">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t="str">
        <f t="shared" si="0"/>
        <v/>
      </c>
      <c r="N58" s="362" t="str">
        <f>IFERROR(IF(B58="","",INDEX('G-6 Hedgerow Data'!$AN$3:$AZ$15,MATCH(C58,'G-6 Hedgerow Data'!$AM$3:$AM$15,0),MATCH(M58,'G-6 Hedgerow Data'!$AN$2:$AZ$2,0))),"")</f>
        <v/>
      </c>
      <c r="O58" s="363" t="str">
        <f t="shared" si="2"/>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70" t="str">
        <f t="shared" si="5"/>
        <v/>
      </c>
      <c r="AF58" s="370" t="str">
        <f t="shared" si="6"/>
        <v/>
      </c>
      <c r="AG58" s="386" t="str">
        <f>IFERROR(IF(O58="","",VLOOKUP(AD58,'G-3 Multipliers'!$P$3:$Q$6,2,FALSE)),"")</f>
        <v/>
      </c>
      <c r="AH58" s="376" t="str">
        <f t="shared" si="7"/>
        <v/>
      </c>
      <c r="AI58" s="188"/>
      <c r="AJ58" s="118"/>
      <c r="AK58" s="120"/>
      <c r="AT58" s="30" t="str">
        <f>IFERROR(INDEX('G-6 Hedgerow Data'!$BJ$3:$BJ$15,MATCH(M58,'G-6 Hedgerow Data'!$B$3:$B$15,0)),"")</f>
        <v/>
      </c>
    </row>
    <row r="59" spans="2:46" ht="13.8" x14ac:dyDescent="0.25">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t="str">
        <f t="shared" si="0"/>
        <v/>
      </c>
      <c r="N59" s="362" t="str">
        <f>IFERROR(IF(B59="","",INDEX('G-6 Hedgerow Data'!$AN$3:$AZ$15,MATCH(C59,'G-6 Hedgerow Data'!$AM$3:$AM$15,0),MATCH(M59,'G-6 Hedgerow Data'!$AN$2:$AZ$2,0))),"")</f>
        <v/>
      </c>
      <c r="O59" s="363" t="str">
        <f t="shared" si="2"/>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70" t="str">
        <f t="shared" si="5"/>
        <v/>
      </c>
      <c r="AF59" s="370" t="str">
        <f t="shared" si="6"/>
        <v/>
      </c>
      <c r="AG59" s="386" t="str">
        <f>IFERROR(IF(O59="","",VLOOKUP(AD59,'G-3 Multipliers'!$P$3:$Q$6,2,FALSE)),"")</f>
        <v/>
      </c>
      <c r="AH59" s="376" t="str">
        <f t="shared" si="7"/>
        <v/>
      </c>
      <c r="AI59" s="188"/>
      <c r="AJ59" s="118"/>
      <c r="AK59" s="120"/>
      <c r="AT59" s="30" t="str">
        <f>IFERROR(INDEX('G-6 Hedgerow Data'!$BJ$3:$BJ$15,MATCH(M59,'G-6 Hedgerow Data'!$B$3:$B$15,0)),"")</f>
        <v/>
      </c>
    </row>
    <row r="60" spans="2:46" ht="13.8" x14ac:dyDescent="0.25">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t="str">
        <f t="shared" si="0"/>
        <v/>
      </c>
      <c r="N60" s="362" t="str">
        <f>IFERROR(IF(B60="","",INDEX('G-6 Hedgerow Data'!$AN$3:$AZ$15,MATCH(C60,'G-6 Hedgerow Data'!$AM$3:$AM$15,0),MATCH(M60,'G-6 Hedgerow Data'!$AN$2:$AZ$2,0))),"")</f>
        <v/>
      </c>
      <c r="O60" s="363" t="str">
        <f t="shared" si="2"/>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70" t="str">
        <f t="shared" si="5"/>
        <v/>
      </c>
      <c r="AF60" s="370" t="str">
        <f t="shared" si="6"/>
        <v/>
      </c>
      <c r="AG60" s="386" t="str">
        <f>IFERROR(IF(O60="","",VLOOKUP(AD60,'G-3 Multipliers'!$P$3:$Q$6,2,FALSE)),"")</f>
        <v/>
      </c>
      <c r="AH60" s="376" t="str">
        <f t="shared" si="7"/>
        <v/>
      </c>
      <c r="AI60" s="188"/>
      <c r="AJ60" s="118"/>
      <c r="AK60" s="120"/>
      <c r="AT60" s="30" t="str">
        <f>IFERROR(INDEX('G-6 Hedgerow Data'!$BJ$3:$BJ$15,MATCH(M60,'G-6 Hedgerow Data'!$B$3:$B$15,0)),"")</f>
        <v/>
      </c>
    </row>
    <row r="61" spans="2:46" ht="13.8" x14ac:dyDescent="0.25">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t="str">
        <f t="shared" si="0"/>
        <v/>
      </c>
      <c r="N61" s="362" t="str">
        <f>IFERROR(IF(B61="","",INDEX('G-6 Hedgerow Data'!$AN$3:$AZ$15,MATCH(C61,'G-6 Hedgerow Data'!$AM$3:$AM$15,0),MATCH(M61,'G-6 Hedgerow Data'!$AN$2:$AZ$2,0))),"")</f>
        <v/>
      </c>
      <c r="O61" s="363" t="str">
        <f t="shared" si="2"/>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70" t="str">
        <f t="shared" si="5"/>
        <v/>
      </c>
      <c r="AF61" s="370" t="str">
        <f t="shared" si="6"/>
        <v/>
      </c>
      <c r="AG61" s="386" t="str">
        <f>IFERROR(IF(O61="","",VLOOKUP(AD61,'G-3 Multipliers'!$P$3:$Q$6,2,FALSE)),"")</f>
        <v/>
      </c>
      <c r="AH61" s="376" t="str">
        <f t="shared" si="7"/>
        <v/>
      </c>
      <c r="AI61" s="188"/>
      <c r="AJ61" s="118"/>
      <c r="AK61" s="120"/>
      <c r="AT61" s="30" t="str">
        <f>IFERROR(INDEX('G-6 Hedgerow Data'!$BJ$3:$BJ$15,MATCH(M61,'G-6 Hedgerow Data'!$B$3:$B$15,0)),"")</f>
        <v/>
      </c>
    </row>
    <row r="62" spans="2:46" ht="13.8" x14ac:dyDescent="0.25">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t="str">
        <f t="shared" si="0"/>
        <v/>
      </c>
      <c r="N62" s="362" t="str">
        <f>IFERROR(IF(B62="","",INDEX('G-6 Hedgerow Data'!$AN$3:$AZ$15,MATCH(C62,'G-6 Hedgerow Data'!$AM$3:$AM$15,0),MATCH(M62,'G-6 Hedgerow Data'!$AN$2:$AZ$2,0))),"")</f>
        <v/>
      </c>
      <c r="O62" s="363" t="str">
        <f t="shared" si="2"/>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70" t="str">
        <f t="shared" si="5"/>
        <v/>
      </c>
      <c r="AF62" s="370" t="str">
        <f t="shared" si="6"/>
        <v/>
      </c>
      <c r="AG62" s="386" t="str">
        <f>IFERROR(IF(O62="","",VLOOKUP(AD62,'G-3 Multipliers'!$P$3:$Q$6,2,FALSE)),"")</f>
        <v/>
      </c>
      <c r="AH62" s="376" t="str">
        <f t="shared" si="7"/>
        <v/>
      </c>
      <c r="AI62" s="188"/>
      <c r="AJ62" s="118"/>
      <c r="AK62" s="120"/>
      <c r="AT62" s="30" t="str">
        <f>IFERROR(INDEX('G-6 Hedgerow Data'!$BJ$3:$BJ$15,MATCH(M62,'G-6 Hedgerow Data'!$B$3:$B$15,0)),"")</f>
        <v/>
      </c>
    </row>
    <row r="63" spans="2:46" ht="13.8" x14ac:dyDescent="0.25">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t="str">
        <f t="shared" si="0"/>
        <v/>
      </c>
      <c r="N63" s="362" t="str">
        <f>IFERROR(IF(B63="","",INDEX('G-6 Hedgerow Data'!$AN$3:$AZ$15,MATCH(C63,'G-6 Hedgerow Data'!$AM$3:$AM$15,0),MATCH(M63,'G-6 Hedgerow Data'!$AN$2:$AZ$2,0))),"")</f>
        <v/>
      </c>
      <c r="O63" s="363" t="str">
        <f t="shared" si="2"/>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70" t="str">
        <f t="shared" si="5"/>
        <v/>
      </c>
      <c r="AF63" s="370" t="str">
        <f t="shared" si="6"/>
        <v/>
      </c>
      <c r="AG63" s="386" t="str">
        <f>IFERROR(IF(O63="","",VLOOKUP(AD63,'G-3 Multipliers'!$P$3:$Q$6,2,FALSE)),"")</f>
        <v/>
      </c>
      <c r="AH63" s="376" t="str">
        <f t="shared" si="7"/>
        <v/>
      </c>
      <c r="AI63" s="188"/>
      <c r="AJ63" s="118"/>
      <c r="AK63" s="120"/>
      <c r="AT63" s="30" t="str">
        <f>IFERROR(INDEX('G-6 Hedgerow Data'!$BJ$3:$BJ$15,MATCH(M63,'G-6 Hedgerow Data'!$B$3:$B$15,0)),"")</f>
        <v/>
      </c>
    </row>
    <row r="64" spans="2:46" ht="13.8" x14ac:dyDescent="0.25">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t="str">
        <f t="shared" si="0"/>
        <v/>
      </c>
      <c r="N64" s="362" t="str">
        <f>IFERROR(IF(B64="","",INDEX('G-6 Hedgerow Data'!$AN$3:$AZ$15,MATCH(C64,'G-6 Hedgerow Data'!$AM$3:$AM$15,0),MATCH(M64,'G-6 Hedgerow Data'!$AN$2:$AZ$2,0))),"")</f>
        <v/>
      </c>
      <c r="O64" s="363" t="str">
        <f t="shared" si="2"/>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70" t="str">
        <f t="shared" si="5"/>
        <v/>
      </c>
      <c r="AF64" s="370" t="str">
        <f t="shared" si="6"/>
        <v/>
      </c>
      <c r="AG64" s="386" t="str">
        <f>IFERROR(IF(O64="","",VLOOKUP(AD64,'G-3 Multipliers'!$P$3:$Q$6,2,FALSE)),"")</f>
        <v/>
      </c>
      <c r="AH64" s="376" t="str">
        <f t="shared" si="7"/>
        <v/>
      </c>
      <c r="AI64" s="188"/>
      <c r="AJ64" s="118"/>
      <c r="AK64" s="120"/>
      <c r="AT64" s="30" t="str">
        <f>IFERROR(INDEX('G-6 Hedgerow Data'!$BJ$3:$BJ$15,MATCH(M64,'G-6 Hedgerow Data'!$B$3:$B$15,0)),"")</f>
        <v/>
      </c>
    </row>
    <row r="65" spans="2:46" ht="13.8" x14ac:dyDescent="0.25">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t="str">
        <f t="shared" si="0"/>
        <v/>
      </c>
      <c r="N65" s="362" t="str">
        <f>IFERROR(IF(B65="","",INDEX('G-6 Hedgerow Data'!$AN$3:$AZ$15,MATCH(C65,'G-6 Hedgerow Data'!$AM$3:$AM$15,0),MATCH(M65,'G-6 Hedgerow Data'!$AN$2:$AZ$2,0))),"")</f>
        <v/>
      </c>
      <c r="O65" s="363" t="str">
        <f t="shared" si="2"/>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70" t="str">
        <f t="shared" si="5"/>
        <v/>
      </c>
      <c r="AF65" s="370" t="str">
        <f t="shared" si="6"/>
        <v/>
      </c>
      <c r="AG65" s="386" t="str">
        <f>IFERROR(IF(O65="","",VLOOKUP(AD65,'G-3 Multipliers'!$P$3:$Q$6,2,FALSE)),"")</f>
        <v/>
      </c>
      <c r="AH65" s="376" t="str">
        <f t="shared" si="7"/>
        <v/>
      </c>
      <c r="AI65" s="188"/>
      <c r="AJ65" s="118"/>
      <c r="AK65" s="120"/>
      <c r="AT65" s="30" t="str">
        <f>IFERROR(INDEX('G-6 Hedgerow Data'!$BJ$3:$BJ$15,MATCH(M65,'G-6 Hedgerow Data'!$B$3:$B$15,0)),"")</f>
        <v/>
      </c>
    </row>
    <row r="66" spans="2:46" ht="13.8" x14ac:dyDescent="0.25">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t="str">
        <f t="shared" si="0"/>
        <v/>
      </c>
      <c r="N66" s="362" t="str">
        <f>IFERROR(IF(B66="","",INDEX('G-6 Hedgerow Data'!$AN$3:$AZ$15,MATCH(C66,'G-6 Hedgerow Data'!$AM$3:$AM$15,0),MATCH(M66,'G-6 Hedgerow Data'!$AN$2:$AZ$2,0))),"")</f>
        <v/>
      </c>
      <c r="O66" s="363" t="str">
        <f t="shared" si="2"/>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70" t="str">
        <f t="shared" si="5"/>
        <v/>
      </c>
      <c r="AF66" s="370" t="str">
        <f t="shared" si="6"/>
        <v/>
      </c>
      <c r="AG66" s="386" t="str">
        <f>IFERROR(IF(O66="","",VLOOKUP(AD66,'G-3 Multipliers'!$P$3:$Q$6,2,FALSE)),"")</f>
        <v/>
      </c>
      <c r="AH66" s="376" t="str">
        <f t="shared" si="7"/>
        <v/>
      </c>
      <c r="AI66" s="188"/>
      <c r="AJ66" s="118"/>
      <c r="AK66" s="120"/>
      <c r="AT66" s="30" t="str">
        <f>IFERROR(INDEX('G-6 Hedgerow Data'!$BJ$3:$BJ$15,MATCH(M66,'G-6 Hedgerow Data'!$B$3:$B$15,0)),"")</f>
        <v/>
      </c>
    </row>
    <row r="67" spans="2:46" ht="13.8" x14ac:dyDescent="0.25">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t="str">
        <f t="shared" si="0"/>
        <v/>
      </c>
      <c r="N67" s="362" t="str">
        <f>IFERROR(IF(B67="","",INDEX('G-6 Hedgerow Data'!$AN$3:$AZ$15,MATCH(C67,'G-6 Hedgerow Data'!$AM$3:$AM$15,0),MATCH(M67,'G-6 Hedgerow Data'!$AN$2:$AZ$2,0))),"")</f>
        <v/>
      </c>
      <c r="O67" s="363" t="str">
        <f t="shared" si="2"/>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70" t="str">
        <f t="shared" si="5"/>
        <v/>
      </c>
      <c r="AF67" s="370" t="str">
        <f t="shared" si="6"/>
        <v/>
      </c>
      <c r="AG67" s="386" t="str">
        <f>IFERROR(IF(O67="","",VLOOKUP(AD67,'G-3 Multipliers'!$P$3:$Q$6,2,FALSE)),"")</f>
        <v/>
      </c>
      <c r="AH67" s="376" t="str">
        <f t="shared" si="7"/>
        <v/>
      </c>
      <c r="AI67" s="188"/>
      <c r="AJ67" s="118"/>
      <c r="AK67" s="120"/>
      <c r="AT67" s="30" t="str">
        <f>IFERROR(INDEX('G-6 Hedgerow Data'!$BJ$3:$BJ$15,MATCH(M67,'G-6 Hedgerow Data'!$B$3:$B$15,0)),"")</f>
        <v/>
      </c>
    </row>
    <row r="68" spans="2:46" ht="13.8" x14ac:dyDescent="0.25">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t="str">
        <f t="shared" si="0"/>
        <v/>
      </c>
      <c r="N68" s="362" t="str">
        <f>IFERROR(IF(B68="","",INDEX('G-6 Hedgerow Data'!$AN$3:$AZ$15,MATCH(C68,'G-6 Hedgerow Data'!$AM$3:$AM$15,0),MATCH(M68,'G-6 Hedgerow Data'!$AN$2:$AZ$2,0))),"")</f>
        <v/>
      </c>
      <c r="O68" s="363" t="str">
        <f t="shared" si="2"/>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70" t="str">
        <f t="shared" si="5"/>
        <v/>
      </c>
      <c r="AF68" s="370" t="str">
        <f t="shared" si="6"/>
        <v/>
      </c>
      <c r="AG68" s="386" t="str">
        <f>IFERROR(IF(O68="","",VLOOKUP(AD68,'G-3 Multipliers'!$P$3:$Q$6,2,FALSE)),"")</f>
        <v/>
      </c>
      <c r="AH68" s="376" t="str">
        <f t="shared" si="7"/>
        <v/>
      </c>
      <c r="AI68" s="188"/>
      <c r="AJ68" s="118"/>
      <c r="AK68" s="120"/>
      <c r="AT68" s="30" t="str">
        <f>IFERROR(INDEX('G-6 Hedgerow Data'!$BJ$3:$BJ$15,MATCH(M68,'G-6 Hedgerow Data'!$B$3:$B$15,0)),"")</f>
        <v/>
      </c>
    </row>
    <row r="69" spans="2:46" ht="13.8" x14ac:dyDescent="0.25">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t="str">
        <f t="shared" si="0"/>
        <v/>
      </c>
      <c r="N69" s="362" t="str">
        <f>IFERROR(IF(B69="","",INDEX('G-6 Hedgerow Data'!$AN$3:$AZ$15,MATCH(C69,'G-6 Hedgerow Data'!$AM$3:$AM$15,0),MATCH(M69,'G-6 Hedgerow Data'!$AN$2:$AZ$2,0))),"")</f>
        <v/>
      </c>
      <c r="O69" s="363" t="str">
        <f t="shared" si="2"/>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70" t="str">
        <f t="shared" si="5"/>
        <v/>
      </c>
      <c r="AF69" s="370" t="str">
        <f t="shared" si="6"/>
        <v/>
      </c>
      <c r="AG69" s="386" t="str">
        <f>IFERROR(IF(O69="","",VLOOKUP(AD69,'G-3 Multipliers'!$P$3:$Q$6,2,FALSE)),"")</f>
        <v/>
      </c>
      <c r="AH69" s="376" t="str">
        <f t="shared" si="7"/>
        <v/>
      </c>
      <c r="AI69" s="188"/>
      <c r="AJ69" s="118"/>
      <c r="AK69" s="120"/>
      <c r="AT69" s="30" t="str">
        <f>IFERROR(INDEX('G-6 Hedgerow Data'!$BJ$3:$BJ$15,MATCH(M69,'G-6 Hedgerow Data'!$B$3:$B$15,0)),"")</f>
        <v/>
      </c>
    </row>
    <row r="70" spans="2:46" ht="13.8" x14ac:dyDescent="0.25">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t="str">
        <f t="shared" si="0"/>
        <v/>
      </c>
      <c r="N70" s="362" t="str">
        <f>IFERROR(IF(B70="","",INDEX('G-6 Hedgerow Data'!$AN$3:$AZ$15,MATCH(C70,'G-6 Hedgerow Data'!$AM$3:$AM$15,0),MATCH(M70,'G-6 Hedgerow Data'!$AN$2:$AZ$2,0))),"")</f>
        <v/>
      </c>
      <c r="O70" s="363" t="str">
        <f t="shared" si="2"/>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70" t="str">
        <f t="shared" si="5"/>
        <v/>
      </c>
      <c r="AF70" s="370" t="str">
        <f t="shared" si="6"/>
        <v/>
      </c>
      <c r="AG70" s="386" t="str">
        <f>IFERROR(IF(O70="","",VLOOKUP(AD70,'G-3 Multipliers'!$P$3:$Q$6,2,FALSE)),"")</f>
        <v/>
      </c>
      <c r="AH70" s="376" t="str">
        <f t="shared" si="7"/>
        <v/>
      </c>
      <c r="AI70" s="188"/>
      <c r="AJ70" s="118"/>
      <c r="AK70" s="120"/>
      <c r="AT70" s="30" t="str">
        <f>IFERROR(INDEX('G-6 Hedgerow Data'!$BJ$3:$BJ$15,MATCH(M70,'G-6 Hedgerow Data'!$B$3:$B$15,0)),"")</f>
        <v/>
      </c>
    </row>
    <row r="71" spans="2:46" ht="13.8" x14ac:dyDescent="0.25">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t="str">
        <f t="shared" si="0"/>
        <v/>
      </c>
      <c r="N71" s="362" t="str">
        <f>IFERROR(IF(B71="","",INDEX('G-6 Hedgerow Data'!$AN$3:$AZ$15,MATCH(C71,'G-6 Hedgerow Data'!$AM$3:$AM$15,0),MATCH(M71,'G-6 Hedgerow Data'!$AN$2:$AZ$2,0))),"")</f>
        <v/>
      </c>
      <c r="O71" s="363" t="str">
        <f t="shared" si="2"/>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70" t="str">
        <f t="shared" si="5"/>
        <v/>
      </c>
      <c r="AF71" s="370" t="str">
        <f t="shared" si="6"/>
        <v/>
      </c>
      <c r="AG71" s="386" t="str">
        <f>IFERROR(IF(O71="","",VLOOKUP(AD71,'G-3 Multipliers'!$P$3:$Q$6,2,FALSE)),"")</f>
        <v/>
      </c>
      <c r="AH71" s="376" t="str">
        <f t="shared" si="7"/>
        <v/>
      </c>
      <c r="AI71" s="188"/>
      <c r="AJ71" s="118"/>
      <c r="AK71" s="120"/>
      <c r="AT71" s="30" t="str">
        <f>IFERROR(INDEX('G-6 Hedgerow Data'!$BJ$3:$BJ$15,MATCH(M71,'G-6 Hedgerow Data'!$B$3:$B$15,0)),"")</f>
        <v/>
      </c>
    </row>
    <row r="72" spans="2:46" ht="13.8" x14ac:dyDescent="0.25">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t="str">
        <f t="shared" si="0"/>
        <v/>
      </c>
      <c r="N72" s="362" t="str">
        <f>IFERROR(IF(B72="","",INDEX('G-6 Hedgerow Data'!$AN$3:$AZ$15,MATCH(C72,'G-6 Hedgerow Data'!$AM$3:$AM$15,0),MATCH(M72,'G-6 Hedgerow Data'!$AN$2:$AZ$2,0))),"")</f>
        <v/>
      </c>
      <c r="O72" s="363" t="str">
        <f t="shared" si="2"/>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70" t="str">
        <f t="shared" si="5"/>
        <v/>
      </c>
      <c r="AF72" s="370" t="str">
        <f t="shared" si="6"/>
        <v/>
      </c>
      <c r="AG72" s="386" t="str">
        <f>IFERROR(IF(O72="","",VLOOKUP(AD72,'G-3 Multipliers'!$P$3:$Q$6,2,FALSE)),"")</f>
        <v/>
      </c>
      <c r="AH72" s="376" t="str">
        <f t="shared" si="7"/>
        <v/>
      </c>
      <c r="AI72" s="188"/>
      <c r="AJ72" s="118"/>
      <c r="AK72" s="120"/>
      <c r="AT72" s="30" t="str">
        <f>IFERROR(INDEX('G-6 Hedgerow Data'!$BJ$3:$BJ$15,MATCH(M72,'G-6 Hedgerow Data'!$B$3:$B$15,0)),"")</f>
        <v/>
      </c>
    </row>
    <row r="73" spans="2:46" ht="13.8" x14ac:dyDescent="0.25">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t="str">
        <f t="shared" si="0"/>
        <v/>
      </c>
      <c r="N73" s="362" t="str">
        <f>IFERROR(IF(B73="","",INDEX('G-6 Hedgerow Data'!$AN$3:$AZ$15,MATCH(C73,'G-6 Hedgerow Data'!$AM$3:$AM$15,0),MATCH(M73,'G-6 Hedgerow Data'!$AN$2:$AZ$2,0))),"")</f>
        <v/>
      </c>
      <c r="O73" s="363" t="str">
        <f t="shared" si="2"/>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70" t="str">
        <f t="shared" si="5"/>
        <v/>
      </c>
      <c r="AF73" s="370" t="str">
        <f t="shared" si="6"/>
        <v/>
      </c>
      <c r="AG73" s="386" t="str">
        <f>IFERROR(IF(O73="","",VLOOKUP(AD73,'G-3 Multipliers'!$P$3:$Q$6,2,FALSE)),"")</f>
        <v/>
      </c>
      <c r="AH73" s="376" t="str">
        <f t="shared" si="7"/>
        <v/>
      </c>
      <c r="AI73" s="188"/>
      <c r="AJ73" s="118"/>
      <c r="AK73" s="120"/>
      <c r="AT73" s="30" t="str">
        <f>IFERROR(INDEX('G-6 Hedgerow Data'!$BJ$3:$BJ$15,MATCH(M73,'G-6 Hedgerow Data'!$B$3:$B$15,0)),"")</f>
        <v/>
      </c>
    </row>
    <row r="74" spans="2:46" ht="13.8" x14ac:dyDescent="0.25">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t="str">
        <f t="shared" si="0"/>
        <v/>
      </c>
      <c r="N74" s="362" t="str">
        <f>IFERROR(IF(B74="","",INDEX('G-6 Hedgerow Data'!$AN$3:$AZ$15,MATCH(C74,'G-6 Hedgerow Data'!$AM$3:$AM$15,0),MATCH(M74,'G-6 Hedgerow Data'!$AN$2:$AZ$2,0))),"")</f>
        <v/>
      </c>
      <c r="O74" s="363" t="str">
        <f t="shared" si="2"/>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70" t="str">
        <f t="shared" si="5"/>
        <v/>
      </c>
      <c r="AF74" s="370" t="str">
        <f t="shared" si="6"/>
        <v/>
      </c>
      <c r="AG74" s="386" t="str">
        <f>IFERROR(IF(O74="","",VLOOKUP(AD74,'G-3 Multipliers'!$P$3:$Q$6,2,FALSE)),"")</f>
        <v/>
      </c>
      <c r="AH74" s="376" t="str">
        <f t="shared" si="7"/>
        <v/>
      </c>
      <c r="AI74" s="188"/>
      <c r="AJ74" s="118"/>
      <c r="AK74" s="120"/>
      <c r="AT74" s="30" t="str">
        <f>IFERROR(INDEX('G-6 Hedgerow Data'!$BJ$3:$BJ$15,MATCH(M74,'G-6 Hedgerow Data'!$B$3:$B$15,0)),"")</f>
        <v/>
      </c>
    </row>
    <row r="75" spans="2:46" ht="13.8" x14ac:dyDescent="0.25">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t="str">
        <f t="shared" si="0"/>
        <v/>
      </c>
      <c r="N75" s="362" t="str">
        <f>IFERROR(IF(B75="","",INDEX('G-6 Hedgerow Data'!$AN$3:$AZ$15,MATCH(C75,'G-6 Hedgerow Data'!$AM$3:$AM$15,0),MATCH(M75,'G-6 Hedgerow Data'!$AN$2:$AZ$2,0))),"")</f>
        <v/>
      </c>
      <c r="O75" s="363" t="str">
        <f t="shared" si="2"/>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70" t="str">
        <f t="shared" si="5"/>
        <v/>
      </c>
      <c r="AF75" s="370" t="str">
        <f t="shared" si="6"/>
        <v/>
      </c>
      <c r="AG75" s="386" t="str">
        <f>IFERROR(IF(O75="","",VLOOKUP(AD75,'G-3 Multipliers'!$P$3:$Q$6,2,FALSE)),"")</f>
        <v/>
      </c>
      <c r="AH75" s="376" t="str">
        <f t="shared" si="7"/>
        <v/>
      </c>
      <c r="AI75" s="188"/>
      <c r="AJ75" s="118"/>
      <c r="AK75" s="120"/>
      <c r="AT75" s="30" t="str">
        <f>IFERROR(INDEX('G-6 Hedgerow Data'!$BJ$3:$BJ$15,MATCH(M75,'G-6 Hedgerow Data'!$B$3:$B$15,0)),"")</f>
        <v/>
      </c>
    </row>
    <row r="76" spans="2:46" ht="13.8" x14ac:dyDescent="0.25">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t="str">
        <f t="shared" si="0"/>
        <v/>
      </c>
      <c r="N76" s="362" t="str">
        <f>IFERROR(IF(B76="","",INDEX('G-6 Hedgerow Data'!$AN$3:$AZ$15,MATCH(C76,'G-6 Hedgerow Data'!$AM$3:$AM$15,0),MATCH(M76,'G-6 Hedgerow Data'!$AN$2:$AZ$2,0))),"")</f>
        <v/>
      </c>
      <c r="O76" s="363" t="str">
        <f t="shared" si="2"/>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8">IF(OR(S76="",M76=""),"",IF(LEFT(AB76,5)="Error ▲","Check Data ⚠",IF(AB76="Check Data ⚠","Check Data ⚠",VLOOKUP(AB76,TemporalMultipliers,3,FALSE))))</f>
        <v/>
      </c>
      <c r="AD76" s="398" t="str">
        <f>IF(M76="","",VLOOKUP(M76,'G-6 Hedgerow Data'!$B$3:$AG$15,31,FALSE))</f>
        <v/>
      </c>
      <c r="AE76" s="370" t="str">
        <f t="shared" si="5"/>
        <v/>
      </c>
      <c r="AF76" s="370" t="str">
        <f t="shared" si="6"/>
        <v/>
      </c>
      <c r="AG76" s="386" t="str">
        <f>IFERROR(IF(O76="","",VLOOKUP(AD76,'G-3 Multipliers'!$P$3:$Q$6,2,FALSE)),"")</f>
        <v/>
      </c>
      <c r="AH76" s="376" t="str">
        <f t="shared" ref="AH76:AH139" si="9">IFERROR(IF(OR(M76="",S76="",U76=""),"",(((((P76*R76*T76)-(P76*F76*H76))*(AG76*AC76))+(P76*F76*H76))*(W76))),"")</f>
        <v/>
      </c>
      <c r="AI76" s="188"/>
      <c r="AJ76" s="118"/>
      <c r="AK76" s="120"/>
      <c r="AT76" s="30" t="str">
        <f>IFERROR(INDEX('G-6 Hedgerow Data'!$BJ$3:$BJ$15,MATCH(M76,'G-6 Hedgerow Data'!$B$3:$B$15,0)),"")</f>
        <v/>
      </c>
    </row>
    <row r="77" spans="2:46" ht="13.8" x14ac:dyDescent="0.25">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t="str">
        <f t="shared" si="0"/>
        <v/>
      </c>
      <c r="N77" s="362" t="str">
        <f>IFERROR(IF(B77="","",INDEX('G-6 Hedgerow Data'!$AN$3:$AZ$15,MATCH(C77,'G-6 Hedgerow Data'!$AM$3:$AM$15,0),MATCH(M77,'G-6 Hedgerow Data'!$AN$2:$AZ$2,0))),"")</f>
        <v/>
      </c>
      <c r="O77" s="363" t="str">
        <f t="shared" ref="O77:O140" si="10">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2">IF(X77="","",IF(AA77="Check Data ⚠","Check Data ⚠",IF(Y77="30+",0,IF(Z77="30+","30+ ⚠",IF(X77+Z77&gt;30,"30+ 'C-1 Site River Baseline'!",IF(AA77="Error -both advance and delayed habitat creation ▲","Check Data ⚠",IF(X77+Z77-Y77&gt;0,X77+Z77-Y77,IF(X77-Y77&lt;=0,0,))))))))</f>
        <v/>
      </c>
      <c r="AC77" s="384" t="str">
        <f t="shared" si="8"/>
        <v/>
      </c>
      <c r="AD77" s="398" t="str">
        <f>IF(M77="","",VLOOKUP(M77,'G-6 Hedgerow Data'!$B$3:$AG$15,31,FALSE))</f>
        <v/>
      </c>
      <c r="AE77" s="370"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4">(IF(AND(AE77="Standard difficulty applied",X77&gt;Y77),AD77,IF(AND(AE77="Low Difficulty - only applicable if all habitat created before losses ⚠",Y77&gt;=X77),"Low",AD77)))</f>
        <v/>
      </c>
      <c r="AG77" s="386" t="str">
        <f>IFERROR(IF(O77="","",VLOOKUP(AD77,'G-3 Multipliers'!$P$3:$Q$6,2,FALSE)),"")</f>
        <v/>
      </c>
      <c r="AH77" s="376" t="str">
        <f t="shared" si="9"/>
        <v/>
      </c>
      <c r="AI77" s="188"/>
      <c r="AJ77" s="118"/>
      <c r="AK77" s="120"/>
      <c r="AT77" s="30" t="str">
        <f>IFERROR(INDEX('G-6 Hedgerow Data'!$BJ$3:$BJ$15,MATCH(M77,'G-6 Hedgerow Data'!$B$3:$B$15,0)),"")</f>
        <v/>
      </c>
    </row>
    <row r="78" spans="2:46" ht="13.8" x14ac:dyDescent="0.25">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t="str">
        <f t="shared" ref="M78:M141" si="15">IF(B78="","",C78)</f>
        <v/>
      </c>
      <c r="N78" s="362" t="str">
        <f>IFERROR(IF(B78="","",INDEX('G-6 Hedgerow Data'!$AN$3:$AZ$15,MATCH(C78,'G-6 Hedgerow Data'!$AM$3:$AM$15,0),MATCH(M78,'G-6 Hedgerow Data'!$AN$2:$AZ$2,0))),"")</f>
        <v/>
      </c>
      <c r="O78" s="363" t="str">
        <f t="shared" si="10"/>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1"/>
        <v/>
      </c>
      <c r="AB78" s="383" t="str">
        <f t="shared" si="12"/>
        <v/>
      </c>
      <c r="AC78" s="384" t="str">
        <f t="shared" si="8"/>
        <v/>
      </c>
      <c r="AD78" s="398" t="str">
        <f>IF(M78="","",VLOOKUP(M78,'G-6 Hedgerow Data'!$B$3:$AG$15,31,FALSE))</f>
        <v/>
      </c>
      <c r="AE78" s="370" t="str">
        <f t="shared" si="13"/>
        <v/>
      </c>
      <c r="AF78" s="370" t="str">
        <f t="shared" si="14"/>
        <v/>
      </c>
      <c r="AG78" s="386" t="str">
        <f>IFERROR(IF(O78="","",VLOOKUP(AD78,'G-3 Multipliers'!$P$3:$Q$6,2,FALSE)),"")</f>
        <v/>
      </c>
      <c r="AH78" s="376" t="str">
        <f t="shared" si="9"/>
        <v/>
      </c>
      <c r="AI78" s="188"/>
      <c r="AJ78" s="118"/>
      <c r="AK78" s="120"/>
      <c r="AT78" s="30" t="str">
        <f>IFERROR(INDEX('G-6 Hedgerow Data'!$BJ$3:$BJ$15,MATCH(M78,'G-6 Hedgerow Data'!$B$3:$B$15,0)),"")</f>
        <v/>
      </c>
    </row>
    <row r="79" spans="2:46" ht="13.8" x14ac:dyDescent="0.25">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t="str">
        <f t="shared" si="15"/>
        <v/>
      </c>
      <c r="N79" s="362" t="str">
        <f>IFERROR(IF(B79="","",INDEX('G-6 Hedgerow Data'!$AN$3:$AZ$15,MATCH(C79,'G-6 Hedgerow Data'!$AM$3:$AM$15,0),MATCH(M79,'G-6 Hedgerow Data'!$AN$2:$AZ$2,0))),"")</f>
        <v/>
      </c>
      <c r="O79" s="363" t="str">
        <f t="shared" si="10"/>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1"/>
        <v/>
      </c>
      <c r="AB79" s="383" t="str">
        <f t="shared" si="12"/>
        <v/>
      </c>
      <c r="AC79" s="384" t="str">
        <f t="shared" si="8"/>
        <v/>
      </c>
      <c r="AD79" s="398" t="str">
        <f>IF(M79="","",VLOOKUP(M79,'G-6 Hedgerow Data'!$B$3:$AG$15,31,FALSE))</f>
        <v/>
      </c>
      <c r="AE79" s="370" t="str">
        <f t="shared" si="13"/>
        <v/>
      </c>
      <c r="AF79" s="370" t="str">
        <f t="shared" si="14"/>
        <v/>
      </c>
      <c r="AG79" s="386" t="str">
        <f>IFERROR(IF(O79="","",VLOOKUP(AD79,'G-3 Multipliers'!$P$3:$Q$6,2,FALSE)),"")</f>
        <v/>
      </c>
      <c r="AH79" s="376" t="str">
        <f t="shared" si="9"/>
        <v/>
      </c>
      <c r="AI79" s="188"/>
      <c r="AJ79" s="118"/>
      <c r="AK79" s="120"/>
      <c r="AT79" s="30" t="str">
        <f>IFERROR(INDEX('G-6 Hedgerow Data'!$BJ$3:$BJ$15,MATCH(M79,'G-6 Hedgerow Data'!$B$3:$B$15,0)),"")</f>
        <v/>
      </c>
    </row>
    <row r="80" spans="2:46" ht="13.8" x14ac:dyDescent="0.25">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t="str">
        <f t="shared" si="15"/>
        <v/>
      </c>
      <c r="N80" s="362" t="str">
        <f>IFERROR(IF(B80="","",INDEX('G-6 Hedgerow Data'!$AN$3:$AZ$15,MATCH(C80,'G-6 Hedgerow Data'!$AM$3:$AM$15,0),MATCH(M80,'G-6 Hedgerow Data'!$AN$2:$AZ$2,0))),"")</f>
        <v/>
      </c>
      <c r="O80" s="363" t="str">
        <f t="shared" si="10"/>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1"/>
        <v/>
      </c>
      <c r="AB80" s="383" t="str">
        <f t="shared" si="12"/>
        <v/>
      </c>
      <c r="AC80" s="384" t="str">
        <f t="shared" si="8"/>
        <v/>
      </c>
      <c r="AD80" s="398" t="str">
        <f>IF(M80="","",VLOOKUP(M80,'G-6 Hedgerow Data'!$B$3:$AG$15,31,FALSE))</f>
        <v/>
      </c>
      <c r="AE80" s="370" t="str">
        <f t="shared" si="13"/>
        <v/>
      </c>
      <c r="AF80" s="370" t="str">
        <f t="shared" si="14"/>
        <v/>
      </c>
      <c r="AG80" s="386" t="str">
        <f>IFERROR(IF(O80="","",VLOOKUP(AD80,'G-3 Multipliers'!$P$3:$Q$6,2,FALSE)),"")</f>
        <v/>
      </c>
      <c r="AH80" s="376" t="str">
        <f t="shared" si="9"/>
        <v/>
      </c>
      <c r="AI80" s="188"/>
      <c r="AJ80" s="118"/>
      <c r="AK80" s="120"/>
      <c r="AT80" s="30" t="str">
        <f>IFERROR(INDEX('G-6 Hedgerow Data'!$BJ$3:$BJ$15,MATCH(M80,'G-6 Hedgerow Data'!$B$3:$B$15,0)),"")</f>
        <v/>
      </c>
    </row>
    <row r="81" spans="2:46" ht="13.8" x14ac:dyDescent="0.25">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t="str">
        <f t="shared" si="15"/>
        <v/>
      </c>
      <c r="N81" s="362" t="str">
        <f>IFERROR(IF(B81="","",INDEX('G-6 Hedgerow Data'!$AN$3:$AZ$15,MATCH(C81,'G-6 Hedgerow Data'!$AM$3:$AM$15,0),MATCH(M81,'G-6 Hedgerow Data'!$AN$2:$AZ$2,0))),"")</f>
        <v/>
      </c>
      <c r="O81" s="363" t="str">
        <f t="shared" si="10"/>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1"/>
        <v/>
      </c>
      <c r="AB81" s="383" t="str">
        <f t="shared" si="12"/>
        <v/>
      </c>
      <c r="AC81" s="384" t="str">
        <f t="shared" si="8"/>
        <v/>
      </c>
      <c r="AD81" s="398" t="str">
        <f>IF(M81="","",VLOOKUP(M81,'G-6 Hedgerow Data'!$B$3:$AG$15,31,FALSE))</f>
        <v/>
      </c>
      <c r="AE81" s="370" t="str">
        <f t="shared" si="13"/>
        <v/>
      </c>
      <c r="AF81" s="370" t="str">
        <f t="shared" si="14"/>
        <v/>
      </c>
      <c r="AG81" s="386" t="str">
        <f>IFERROR(IF(O81="","",VLOOKUP(AD81,'G-3 Multipliers'!$P$3:$Q$6,2,FALSE)),"")</f>
        <v/>
      </c>
      <c r="AH81" s="376" t="str">
        <f t="shared" si="9"/>
        <v/>
      </c>
      <c r="AI81" s="188"/>
      <c r="AJ81" s="118"/>
      <c r="AK81" s="120"/>
      <c r="AT81" s="30" t="str">
        <f>IFERROR(INDEX('G-6 Hedgerow Data'!$BJ$3:$BJ$15,MATCH(M81,'G-6 Hedgerow Data'!$B$3:$B$15,0)),"")</f>
        <v/>
      </c>
    </row>
    <row r="82" spans="2:46" ht="13.8" x14ac:dyDescent="0.25">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t="str">
        <f t="shared" si="15"/>
        <v/>
      </c>
      <c r="N82" s="362" t="str">
        <f>IFERROR(IF(B82="","",INDEX('G-6 Hedgerow Data'!$AN$3:$AZ$15,MATCH(C82,'G-6 Hedgerow Data'!$AM$3:$AM$15,0),MATCH(M82,'G-6 Hedgerow Data'!$AN$2:$AZ$2,0))),"")</f>
        <v/>
      </c>
      <c r="O82" s="363" t="str">
        <f t="shared" si="10"/>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1"/>
        <v/>
      </c>
      <c r="AB82" s="383" t="str">
        <f t="shared" si="12"/>
        <v/>
      </c>
      <c r="AC82" s="384" t="str">
        <f t="shared" si="8"/>
        <v/>
      </c>
      <c r="AD82" s="398" t="str">
        <f>IF(M82="","",VLOOKUP(M82,'G-6 Hedgerow Data'!$B$3:$AG$15,31,FALSE))</f>
        <v/>
      </c>
      <c r="AE82" s="370" t="str">
        <f t="shared" si="13"/>
        <v/>
      </c>
      <c r="AF82" s="370" t="str">
        <f t="shared" si="14"/>
        <v/>
      </c>
      <c r="AG82" s="386" t="str">
        <f>IFERROR(IF(O82="","",VLOOKUP(AD82,'G-3 Multipliers'!$P$3:$Q$6,2,FALSE)),"")</f>
        <v/>
      </c>
      <c r="AH82" s="376" t="str">
        <f t="shared" si="9"/>
        <v/>
      </c>
      <c r="AI82" s="188"/>
      <c r="AJ82" s="118"/>
      <c r="AK82" s="120"/>
      <c r="AT82" s="30" t="str">
        <f>IFERROR(INDEX('G-6 Hedgerow Data'!$BJ$3:$BJ$15,MATCH(M82,'G-6 Hedgerow Data'!$B$3:$B$15,0)),"")</f>
        <v/>
      </c>
    </row>
    <row r="83" spans="2:46" ht="13.8" x14ac:dyDescent="0.25">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t="str">
        <f t="shared" si="15"/>
        <v/>
      </c>
      <c r="N83" s="362" t="str">
        <f>IFERROR(IF(B83="","",INDEX('G-6 Hedgerow Data'!$AN$3:$AZ$15,MATCH(C83,'G-6 Hedgerow Data'!$AM$3:$AM$15,0),MATCH(M83,'G-6 Hedgerow Data'!$AN$2:$AZ$2,0))),"")</f>
        <v/>
      </c>
      <c r="O83" s="363" t="str">
        <f t="shared" si="10"/>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1"/>
        <v/>
      </c>
      <c r="AB83" s="383" t="str">
        <f t="shared" si="12"/>
        <v/>
      </c>
      <c r="AC83" s="384" t="str">
        <f t="shared" si="8"/>
        <v/>
      </c>
      <c r="AD83" s="398" t="str">
        <f>IF(M83="","",VLOOKUP(M83,'G-6 Hedgerow Data'!$B$3:$AG$15,31,FALSE))</f>
        <v/>
      </c>
      <c r="AE83" s="370" t="str">
        <f t="shared" si="13"/>
        <v/>
      </c>
      <c r="AF83" s="370" t="str">
        <f t="shared" si="14"/>
        <v/>
      </c>
      <c r="AG83" s="386" t="str">
        <f>IFERROR(IF(O83="","",VLOOKUP(AD83,'G-3 Multipliers'!$P$3:$Q$6,2,FALSE)),"")</f>
        <v/>
      </c>
      <c r="AH83" s="376" t="str">
        <f t="shared" si="9"/>
        <v/>
      </c>
      <c r="AI83" s="188"/>
      <c r="AJ83" s="118"/>
      <c r="AK83" s="120"/>
      <c r="AT83" s="30" t="str">
        <f>IFERROR(INDEX('G-6 Hedgerow Data'!$BJ$3:$BJ$15,MATCH(M83,'G-6 Hedgerow Data'!$B$3:$B$15,0)),"")</f>
        <v/>
      </c>
    </row>
    <row r="84" spans="2:46" ht="13.8" x14ac:dyDescent="0.25">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t="str">
        <f t="shared" si="15"/>
        <v/>
      </c>
      <c r="N84" s="362" t="str">
        <f>IFERROR(IF(B84="","",INDEX('G-6 Hedgerow Data'!$AN$3:$AZ$15,MATCH(C84,'G-6 Hedgerow Data'!$AM$3:$AM$15,0),MATCH(M84,'G-6 Hedgerow Data'!$AN$2:$AZ$2,0))),"")</f>
        <v/>
      </c>
      <c r="O84" s="363" t="str">
        <f t="shared" si="10"/>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1"/>
        <v/>
      </c>
      <c r="AB84" s="383" t="str">
        <f t="shared" si="12"/>
        <v/>
      </c>
      <c r="AC84" s="384" t="str">
        <f t="shared" si="8"/>
        <v/>
      </c>
      <c r="AD84" s="398" t="str">
        <f>IF(M84="","",VLOOKUP(M84,'G-6 Hedgerow Data'!$B$3:$AG$15,31,FALSE))</f>
        <v/>
      </c>
      <c r="AE84" s="370" t="str">
        <f t="shared" si="13"/>
        <v/>
      </c>
      <c r="AF84" s="370" t="str">
        <f t="shared" si="14"/>
        <v/>
      </c>
      <c r="AG84" s="386" t="str">
        <f>IFERROR(IF(O84="","",VLOOKUP(AD84,'G-3 Multipliers'!$P$3:$Q$6,2,FALSE)),"")</f>
        <v/>
      </c>
      <c r="AH84" s="376" t="str">
        <f t="shared" si="9"/>
        <v/>
      </c>
      <c r="AI84" s="188"/>
      <c r="AJ84" s="118"/>
      <c r="AK84" s="120"/>
      <c r="AT84" s="30" t="str">
        <f>IFERROR(INDEX('G-6 Hedgerow Data'!$BJ$3:$BJ$15,MATCH(M84,'G-6 Hedgerow Data'!$B$3:$B$15,0)),"")</f>
        <v/>
      </c>
    </row>
    <row r="85" spans="2:46" ht="13.8" x14ac:dyDescent="0.25">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t="str">
        <f t="shared" si="15"/>
        <v/>
      </c>
      <c r="N85" s="362" t="str">
        <f>IFERROR(IF(B85="","",INDEX('G-6 Hedgerow Data'!$AN$3:$AZ$15,MATCH(C85,'G-6 Hedgerow Data'!$AM$3:$AM$15,0),MATCH(M85,'G-6 Hedgerow Data'!$AN$2:$AZ$2,0))),"")</f>
        <v/>
      </c>
      <c r="O85" s="363" t="str">
        <f t="shared" si="10"/>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1"/>
        <v/>
      </c>
      <c r="AB85" s="383" t="str">
        <f t="shared" si="12"/>
        <v/>
      </c>
      <c r="AC85" s="384" t="str">
        <f t="shared" si="8"/>
        <v/>
      </c>
      <c r="AD85" s="398" t="str">
        <f>IF(M85="","",VLOOKUP(M85,'G-6 Hedgerow Data'!$B$3:$AG$15,31,FALSE))</f>
        <v/>
      </c>
      <c r="AE85" s="370" t="str">
        <f t="shared" si="13"/>
        <v/>
      </c>
      <c r="AF85" s="370" t="str">
        <f t="shared" si="14"/>
        <v/>
      </c>
      <c r="AG85" s="386" t="str">
        <f>IFERROR(IF(O85="","",VLOOKUP(AD85,'G-3 Multipliers'!$P$3:$Q$6,2,FALSE)),"")</f>
        <v/>
      </c>
      <c r="AH85" s="376" t="str">
        <f t="shared" si="9"/>
        <v/>
      </c>
      <c r="AI85" s="188"/>
      <c r="AJ85" s="118"/>
      <c r="AK85" s="120"/>
      <c r="AT85" s="30" t="str">
        <f>IFERROR(INDEX('G-6 Hedgerow Data'!$BJ$3:$BJ$15,MATCH(M85,'G-6 Hedgerow Data'!$B$3:$B$15,0)),"")</f>
        <v/>
      </c>
    </row>
    <row r="86" spans="2:46" ht="13.8" x14ac:dyDescent="0.25">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t="str">
        <f t="shared" si="15"/>
        <v/>
      </c>
      <c r="N86" s="362" t="str">
        <f>IFERROR(IF(B86="","",INDEX('G-6 Hedgerow Data'!$AN$3:$AZ$15,MATCH(C86,'G-6 Hedgerow Data'!$AM$3:$AM$15,0),MATCH(M86,'G-6 Hedgerow Data'!$AN$2:$AZ$2,0))),"")</f>
        <v/>
      </c>
      <c r="O86" s="363" t="str">
        <f t="shared" si="10"/>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1"/>
        <v/>
      </c>
      <c r="AB86" s="383" t="str">
        <f t="shared" si="12"/>
        <v/>
      </c>
      <c r="AC86" s="384" t="str">
        <f t="shared" si="8"/>
        <v/>
      </c>
      <c r="AD86" s="398" t="str">
        <f>IF(M86="","",VLOOKUP(M86,'G-6 Hedgerow Data'!$B$3:$AG$15,31,FALSE))</f>
        <v/>
      </c>
      <c r="AE86" s="370" t="str">
        <f t="shared" si="13"/>
        <v/>
      </c>
      <c r="AF86" s="370" t="str">
        <f t="shared" si="14"/>
        <v/>
      </c>
      <c r="AG86" s="386" t="str">
        <f>IFERROR(IF(O86="","",VLOOKUP(AD86,'G-3 Multipliers'!$P$3:$Q$6,2,FALSE)),"")</f>
        <v/>
      </c>
      <c r="AH86" s="376" t="str">
        <f t="shared" si="9"/>
        <v/>
      </c>
      <c r="AI86" s="188"/>
      <c r="AJ86" s="118"/>
      <c r="AK86" s="120"/>
      <c r="AT86" s="30" t="str">
        <f>IFERROR(INDEX('G-6 Hedgerow Data'!$BJ$3:$BJ$15,MATCH(M86,'G-6 Hedgerow Data'!$B$3:$B$15,0)),"")</f>
        <v/>
      </c>
    </row>
    <row r="87" spans="2:46" ht="13.8" x14ac:dyDescent="0.25">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t="str">
        <f t="shared" si="15"/>
        <v/>
      </c>
      <c r="N87" s="362" t="str">
        <f>IFERROR(IF(B87="","",INDEX('G-6 Hedgerow Data'!$AN$3:$AZ$15,MATCH(C87,'G-6 Hedgerow Data'!$AM$3:$AM$15,0),MATCH(M87,'G-6 Hedgerow Data'!$AN$2:$AZ$2,0))),"")</f>
        <v/>
      </c>
      <c r="O87" s="363" t="str">
        <f t="shared" si="10"/>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1"/>
        <v/>
      </c>
      <c r="AB87" s="383" t="str">
        <f t="shared" si="12"/>
        <v/>
      </c>
      <c r="AC87" s="384" t="str">
        <f t="shared" si="8"/>
        <v/>
      </c>
      <c r="AD87" s="398" t="str">
        <f>IF(M87="","",VLOOKUP(M87,'G-6 Hedgerow Data'!$B$3:$AG$15,31,FALSE))</f>
        <v/>
      </c>
      <c r="AE87" s="370" t="str">
        <f t="shared" si="13"/>
        <v/>
      </c>
      <c r="AF87" s="370" t="str">
        <f t="shared" si="14"/>
        <v/>
      </c>
      <c r="AG87" s="386" t="str">
        <f>IFERROR(IF(O87="","",VLOOKUP(AD87,'G-3 Multipliers'!$P$3:$Q$6,2,FALSE)),"")</f>
        <v/>
      </c>
      <c r="AH87" s="376" t="str">
        <f t="shared" si="9"/>
        <v/>
      </c>
      <c r="AI87" s="188"/>
      <c r="AJ87" s="118"/>
      <c r="AK87" s="120"/>
      <c r="AT87" s="30" t="str">
        <f>IFERROR(INDEX('G-6 Hedgerow Data'!$BJ$3:$BJ$15,MATCH(M87,'G-6 Hedgerow Data'!$B$3:$B$15,0)),"")</f>
        <v/>
      </c>
    </row>
    <row r="88" spans="2:46" ht="13.8" x14ac:dyDescent="0.25">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t="str">
        <f t="shared" si="15"/>
        <v/>
      </c>
      <c r="N88" s="362" t="str">
        <f>IFERROR(IF(B88="","",INDEX('G-6 Hedgerow Data'!$AN$3:$AZ$15,MATCH(C88,'G-6 Hedgerow Data'!$AM$3:$AM$15,0),MATCH(M88,'G-6 Hedgerow Data'!$AN$2:$AZ$2,0))),"")</f>
        <v/>
      </c>
      <c r="O88" s="363" t="str">
        <f t="shared" si="10"/>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1"/>
        <v/>
      </c>
      <c r="AB88" s="383" t="str">
        <f t="shared" si="12"/>
        <v/>
      </c>
      <c r="AC88" s="384" t="str">
        <f t="shared" si="8"/>
        <v/>
      </c>
      <c r="AD88" s="398" t="str">
        <f>IF(M88="","",VLOOKUP(M88,'G-6 Hedgerow Data'!$B$3:$AG$15,31,FALSE))</f>
        <v/>
      </c>
      <c r="AE88" s="370" t="str">
        <f t="shared" si="13"/>
        <v/>
      </c>
      <c r="AF88" s="370" t="str">
        <f t="shared" si="14"/>
        <v/>
      </c>
      <c r="AG88" s="386" t="str">
        <f>IFERROR(IF(O88="","",VLOOKUP(AD88,'G-3 Multipliers'!$P$3:$Q$6,2,FALSE)),"")</f>
        <v/>
      </c>
      <c r="AH88" s="376" t="str">
        <f t="shared" si="9"/>
        <v/>
      </c>
      <c r="AI88" s="188"/>
      <c r="AJ88" s="118"/>
      <c r="AK88" s="120"/>
      <c r="AT88" s="30" t="str">
        <f>IFERROR(INDEX('G-6 Hedgerow Data'!$BJ$3:$BJ$15,MATCH(M88,'G-6 Hedgerow Data'!$B$3:$B$15,0)),"")</f>
        <v/>
      </c>
    </row>
    <row r="89" spans="2:46" ht="13.8" x14ac:dyDescent="0.25">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t="str">
        <f t="shared" si="15"/>
        <v/>
      </c>
      <c r="N89" s="362" t="str">
        <f>IFERROR(IF(B89="","",INDEX('G-6 Hedgerow Data'!$AN$3:$AZ$15,MATCH(C89,'G-6 Hedgerow Data'!$AM$3:$AM$15,0),MATCH(M89,'G-6 Hedgerow Data'!$AN$2:$AZ$2,0))),"")</f>
        <v/>
      </c>
      <c r="O89" s="363" t="str">
        <f t="shared" si="10"/>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1"/>
        <v/>
      </c>
      <c r="AB89" s="383" t="str">
        <f t="shared" si="12"/>
        <v/>
      </c>
      <c r="AC89" s="384" t="str">
        <f t="shared" si="8"/>
        <v/>
      </c>
      <c r="AD89" s="398" t="str">
        <f>IF(M89="","",VLOOKUP(M89,'G-6 Hedgerow Data'!$B$3:$AG$15,31,FALSE))</f>
        <v/>
      </c>
      <c r="AE89" s="370" t="str">
        <f t="shared" si="13"/>
        <v/>
      </c>
      <c r="AF89" s="370" t="str">
        <f t="shared" si="14"/>
        <v/>
      </c>
      <c r="AG89" s="386" t="str">
        <f>IFERROR(IF(O89="","",VLOOKUP(AD89,'G-3 Multipliers'!$P$3:$Q$6,2,FALSE)),"")</f>
        <v/>
      </c>
      <c r="AH89" s="376" t="str">
        <f t="shared" si="9"/>
        <v/>
      </c>
      <c r="AI89" s="188"/>
      <c r="AJ89" s="118"/>
      <c r="AK89" s="120"/>
      <c r="AT89" s="30" t="str">
        <f>IFERROR(INDEX('G-6 Hedgerow Data'!$BJ$3:$BJ$15,MATCH(M89,'G-6 Hedgerow Data'!$B$3:$B$15,0)),"")</f>
        <v/>
      </c>
    </row>
    <row r="90" spans="2:46" ht="13.8" x14ac:dyDescent="0.25">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t="str">
        <f t="shared" si="15"/>
        <v/>
      </c>
      <c r="N90" s="362" t="str">
        <f>IFERROR(IF(B90="","",INDEX('G-6 Hedgerow Data'!$AN$3:$AZ$15,MATCH(C90,'G-6 Hedgerow Data'!$AM$3:$AM$15,0),MATCH(M90,'G-6 Hedgerow Data'!$AN$2:$AZ$2,0))),"")</f>
        <v/>
      </c>
      <c r="O90" s="363" t="str">
        <f t="shared" si="10"/>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1"/>
        <v/>
      </c>
      <c r="AB90" s="383" t="str">
        <f t="shared" si="12"/>
        <v/>
      </c>
      <c r="AC90" s="384" t="str">
        <f t="shared" si="8"/>
        <v/>
      </c>
      <c r="AD90" s="398" t="str">
        <f>IF(M90="","",VLOOKUP(M90,'G-6 Hedgerow Data'!$B$3:$AG$15,31,FALSE))</f>
        <v/>
      </c>
      <c r="AE90" s="370" t="str">
        <f t="shared" si="13"/>
        <v/>
      </c>
      <c r="AF90" s="370" t="str">
        <f t="shared" si="14"/>
        <v/>
      </c>
      <c r="AG90" s="386" t="str">
        <f>IFERROR(IF(O90="","",VLOOKUP(AD90,'G-3 Multipliers'!$P$3:$Q$6,2,FALSE)),"")</f>
        <v/>
      </c>
      <c r="AH90" s="376" t="str">
        <f t="shared" si="9"/>
        <v/>
      </c>
      <c r="AI90" s="188"/>
      <c r="AJ90" s="118"/>
      <c r="AK90" s="120"/>
      <c r="AT90" s="30" t="str">
        <f>IFERROR(INDEX('G-6 Hedgerow Data'!$BJ$3:$BJ$15,MATCH(M90,'G-6 Hedgerow Data'!$B$3:$B$15,0)),"")</f>
        <v/>
      </c>
    </row>
    <row r="91" spans="2:46" ht="13.8" x14ac:dyDescent="0.25">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t="str">
        <f t="shared" si="15"/>
        <v/>
      </c>
      <c r="N91" s="362" t="str">
        <f>IFERROR(IF(B91="","",INDEX('G-6 Hedgerow Data'!$AN$3:$AZ$15,MATCH(C91,'G-6 Hedgerow Data'!$AM$3:$AM$15,0),MATCH(M91,'G-6 Hedgerow Data'!$AN$2:$AZ$2,0))),"")</f>
        <v/>
      </c>
      <c r="O91" s="363" t="str">
        <f t="shared" si="10"/>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1"/>
        <v/>
      </c>
      <c r="AB91" s="383" t="str">
        <f t="shared" si="12"/>
        <v/>
      </c>
      <c r="AC91" s="384" t="str">
        <f t="shared" si="8"/>
        <v/>
      </c>
      <c r="AD91" s="398" t="str">
        <f>IF(M91="","",VLOOKUP(M91,'G-6 Hedgerow Data'!$B$3:$AG$15,31,FALSE))</f>
        <v/>
      </c>
      <c r="AE91" s="370" t="str">
        <f t="shared" si="13"/>
        <v/>
      </c>
      <c r="AF91" s="370" t="str">
        <f t="shared" si="14"/>
        <v/>
      </c>
      <c r="AG91" s="386" t="str">
        <f>IFERROR(IF(O91="","",VLOOKUP(AD91,'G-3 Multipliers'!$P$3:$Q$6,2,FALSE)),"")</f>
        <v/>
      </c>
      <c r="AH91" s="376" t="str">
        <f t="shared" si="9"/>
        <v/>
      </c>
      <c r="AI91" s="188"/>
      <c r="AJ91" s="118"/>
      <c r="AK91" s="120"/>
      <c r="AT91" s="30" t="str">
        <f>IFERROR(INDEX('G-6 Hedgerow Data'!$BJ$3:$BJ$15,MATCH(M91,'G-6 Hedgerow Data'!$B$3:$B$15,0)),"")</f>
        <v/>
      </c>
    </row>
    <row r="92" spans="2:46" ht="13.8" x14ac:dyDescent="0.25">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t="str">
        <f t="shared" si="15"/>
        <v/>
      </c>
      <c r="N92" s="362" t="str">
        <f>IFERROR(IF(B92="","",INDEX('G-6 Hedgerow Data'!$AN$3:$AZ$15,MATCH(C92,'G-6 Hedgerow Data'!$AM$3:$AM$15,0),MATCH(M92,'G-6 Hedgerow Data'!$AN$2:$AZ$2,0))),"")</f>
        <v/>
      </c>
      <c r="O92" s="363" t="str">
        <f t="shared" si="10"/>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1"/>
        <v/>
      </c>
      <c r="AB92" s="383" t="str">
        <f t="shared" si="12"/>
        <v/>
      </c>
      <c r="AC92" s="384" t="str">
        <f t="shared" si="8"/>
        <v/>
      </c>
      <c r="AD92" s="398" t="str">
        <f>IF(M92="","",VLOOKUP(M92,'G-6 Hedgerow Data'!$B$3:$AG$15,31,FALSE))</f>
        <v/>
      </c>
      <c r="AE92" s="370" t="str">
        <f t="shared" si="13"/>
        <v/>
      </c>
      <c r="AF92" s="370" t="str">
        <f t="shared" si="14"/>
        <v/>
      </c>
      <c r="AG92" s="386" t="str">
        <f>IFERROR(IF(O92="","",VLOOKUP(AD92,'G-3 Multipliers'!$P$3:$Q$6,2,FALSE)),"")</f>
        <v/>
      </c>
      <c r="AH92" s="376" t="str">
        <f t="shared" si="9"/>
        <v/>
      </c>
      <c r="AI92" s="188"/>
      <c r="AJ92" s="118"/>
      <c r="AK92" s="120"/>
      <c r="AT92" s="30" t="str">
        <f>IFERROR(INDEX('G-6 Hedgerow Data'!$BJ$3:$BJ$15,MATCH(M92,'G-6 Hedgerow Data'!$B$3:$B$15,0)),"")</f>
        <v/>
      </c>
    </row>
    <row r="93" spans="2:46" ht="13.8" x14ac:dyDescent="0.25">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t="str">
        <f t="shared" si="15"/>
        <v/>
      </c>
      <c r="N93" s="362" t="str">
        <f>IFERROR(IF(B93="","",INDEX('G-6 Hedgerow Data'!$AN$3:$AZ$15,MATCH(C93,'G-6 Hedgerow Data'!$AM$3:$AM$15,0),MATCH(M93,'G-6 Hedgerow Data'!$AN$2:$AZ$2,0))),"")</f>
        <v/>
      </c>
      <c r="O93" s="363" t="str">
        <f t="shared" si="10"/>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1"/>
        <v/>
      </c>
      <c r="AB93" s="383" t="str">
        <f t="shared" si="12"/>
        <v/>
      </c>
      <c r="AC93" s="384" t="str">
        <f t="shared" si="8"/>
        <v/>
      </c>
      <c r="AD93" s="398" t="str">
        <f>IF(M93="","",VLOOKUP(M93,'G-6 Hedgerow Data'!$B$3:$AG$15,31,FALSE))</f>
        <v/>
      </c>
      <c r="AE93" s="370" t="str">
        <f t="shared" si="13"/>
        <v/>
      </c>
      <c r="AF93" s="370" t="str">
        <f t="shared" si="14"/>
        <v/>
      </c>
      <c r="AG93" s="386" t="str">
        <f>IFERROR(IF(O93="","",VLOOKUP(AD93,'G-3 Multipliers'!$P$3:$Q$6,2,FALSE)),"")</f>
        <v/>
      </c>
      <c r="AH93" s="376" t="str">
        <f t="shared" si="9"/>
        <v/>
      </c>
      <c r="AI93" s="188"/>
      <c r="AJ93" s="118"/>
      <c r="AK93" s="120"/>
      <c r="AT93" s="30" t="str">
        <f>IFERROR(INDEX('G-6 Hedgerow Data'!$BJ$3:$BJ$15,MATCH(M93,'G-6 Hedgerow Data'!$B$3:$B$15,0)),"")</f>
        <v/>
      </c>
    </row>
    <row r="94" spans="2:46" ht="13.8" x14ac:dyDescent="0.25">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3.8" x14ac:dyDescent="0.25">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3.8" x14ac:dyDescent="0.25">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3.8" x14ac:dyDescent="0.25">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3.8" x14ac:dyDescent="0.25">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3.8" x14ac:dyDescent="0.25">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3.8" x14ac:dyDescent="0.25">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3.8" x14ac:dyDescent="0.25">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3.8" x14ac:dyDescent="0.25">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3.8" x14ac:dyDescent="0.25">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3.8" x14ac:dyDescent="0.25">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3.8" x14ac:dyDescent="0.25">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3.8" x14ac:dyDescent="0.25">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3.8" x14ac:dyDescent="0.25">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3.8" x14ac:dyDescent="0.25">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3.8" x14ac:dyDescent="0.25">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3.8" x14ac:dyDescent="0.25">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3.8" x14ac:dyDescent="0.25">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3.8" x14ac:dyDescent="0.25">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3.8" x14ac:dyDescent="0.25">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3.8" x14ac:dyDescent="0.25">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3.8" x14ac:dyDescent="0.25">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3.8" x14ac:dyDescent="0.25">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3.8" x14ac:dyDescent="0.25">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3.8" x14ac:dyDescent="0.25">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3.8" x14ac:dyDescent="0.25">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3.8" x14ac:dyDescent="0.25">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3.8" x14ac:dyDescent="0.25">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3.8" x14ac:dyDescent="0.25">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3.8" x14ac:dyDescent="0.25">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3.8" x14ac:dyDescent="0.25">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3.8" x14ac:dyDescent="0.25">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3.8" x14ac:dyDescent="0.25">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3.8" x14ac:dyDescent="0.25">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3.8" x14ac:dyDescent="0.25">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3.8" x14ac:dyDescent="0.25">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3.8" x14ac:dyDescent="0.25">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3.8" x14ac:dyDescent="0.25">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3.8" x14ac:dyDescent="0.25">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3.8" x14ac:dyDescent="0.25">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3.8" x14ac:dyDescent="0.25">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3.8" x14ac:dyDescent="0.25">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3.8" x14ac:dyDescent="0.25">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3.8" x14ac:dyDescent="0.25">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3.8" x14ac:dyDescent="0.25">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3.8" x14ac:dyDescent="0.25">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3.8" x14ac:dyDescent="0.25">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3.8" x14ac:dyDescent="0.25">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3.8" x14ac:dyDescent="0.25">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3.8" x14ac:dyDescent="0.25">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3.8" x14ac:dyDescent="0.25">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3.8" x14ac:dyDescent="0.25">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3.8" x14ac:dyDescent="0.25">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3.8" x14ac:dyDescent="0.25">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3.8" x14ac:dyDescent="0.25">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3.8" x14ac:dyDescent="0.25">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3.8" x14ac:dyDescent="0.25">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3.8" x14ac:dyDescent="0.25">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3.8" x14ac:dyDescent="0.25">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3.8" x14ac:dyDescent="0.25">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3.8" x14ac:dyDescent="0.25">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3.8" x14ac:dyDescent="0.25">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3.8" x14ac:dyDescent="0.25">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3.8" x14ac:dyDescent="0.25">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3.8" x14ac:dyDescent="0.25">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3.8" x14ac:dyDescent="0.25">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3.8" x14ac:dyDescent="0.25">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3.8" x14ac:dyDescent="0.25">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3.8" x14ac:dyDescent="0.25">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3.8" x14ac:dyDescent="0.25">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3.8" x14ac:dyDescent="0.25">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3.8" x14ac:dyDescent="0.25">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3.8" x14ac:dyDescent="0.25">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3.8" x14ac:dyDescent="0.25">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3.8" x14ac:dyDescent="0.25">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3.8" x14ac:dyDescent="0.25">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3.8" x14ac:dyDescent="0.25">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3.8" x14ac:dyDescent="0.25">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3.8" x14ac:dyDescent="0.25">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3.8" x14ac:dyDescent="0.25">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3.8" x14ac:dyDescent="0.25">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3.8" x14ac:dyDescent="0.25">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3.8" x14ac:dyDescent="0.25">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3.8" x14ac:dyDescent="0.25">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3.8" x14ac:dyDescent="0.25">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3.8" x14ac:dyDescent="0.25">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3.8" x14ac:dyDescent="0.25">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3.8" x14ac:dyDescent="0.25">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3.8" x14ac:dyDescent="0.25">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3.8" x14ac:dyDescent="0.25">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3.8" x14ac:dyDescent="0.25">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3.8" x14ac:dyDescent="0.25">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3.8" x14ac:dyDescent="0.25">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3.8" x14ac:dyDescent="0.25">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3.8" x14ac:dyDescent="0.25">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3.8" x14ac:dyDescent="0.25">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3.8" x14ac:dyDescent="0.25">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3.8" x14ac:dyDescent="0.25">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3.8" x14ac:dyDescent="0.25">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3.8" x14ac:dyDescent="0.25">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3.8" x14ac:dyDescent="0.25">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3.8" x14ac:dyDescent="0.25">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3.8" x14ac:dyDescent="0.25">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3.8" x14ac:dyDescent="0.25">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3.8" x14ac:dyDescent="0.25">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3.8" x14ac:dyDescent="0.25">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3.8" x14ac:dyDescent="0.25">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3.8" x14ac:dyDescent="0.25">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3.8" x14ac:dyDescent="0.25">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3.8" x14ac:dyDescent="0.25">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3.8" x14ac:dyDescent="0.25">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3.8" x14ac:dyDescent="0.25">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3.8" x14ac:dyDescent="0.25">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3.8" x14ac:dyDescent="0.25">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3.8" x14ac:dyDescent="0.25">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3.8" x14ac:dyDescent="0.25">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3.8" x14ac:dyDescent="0.25">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3.8" x14ac:dyDescent="0.25">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3.8" x14ac:dyDescent="0.25">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3.8" x14ac:dyDescent="0.25">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3.8" x14ac:dyDescent="0.25">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3.8" x14ac:dyDescent="0.25">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3.8" x14ac:dyDescent="0.25">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3.8" x14ac:dyDescent="0.25">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3.8" x14ac:dyDescent="0.25">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3.8" x14ac:dyDescent="0.25">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3.8" x14ac:dyDescent="0.25">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3.8" x14ac:dyDescent="0.25">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3.8" x14ac:dyDescent="0.25">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3.8" x14ac:dyDescent="0.25">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3.8" x14ac:dyDescent="0.25">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3.8" x14ac:dyDescent="0.25">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3.8" x14ac:dyDescent="0.25">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3.8" x14ac:dyDescent="0.25">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3.8" x14ac:dyDescent="0.25">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3.8" x14ac:dyDescent="0.25">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3.8" x14ac:dyDescent="0.25">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3.8" x14ac:dyDescent="0.25">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3.8" x14ac:dyDescent="0.25">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3.8" x14ac:dyDescent="0.25">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3.8" x14ac:dyDescent="0.25">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3.8" x14ac:dyDescent="0.25">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3.8" x14ac:dyDescent="0.25">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3.8" x14ac:dyDescent="0.25">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3.8" x14ac:dyDescent="0.25">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3.8" x14ac:dyDescent="0.25">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3.8" x14ac:dyDescent="0.25">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3.8" x14ac:dyDescent="0.25">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3.8" x14ac:dyDescent="0.25">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3.8" x14ac:dyDescent="0.25">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3.8" x14ac:dyDescent="0.25">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3.8" x14ac:dyDescent="0.25">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3.8" x14ac:dyDescent="0.25">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3.8" x14ac:dyDescent="0.25">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3.8" x14ac:dyDescent="0.25">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3.8" x14ac:dyDescent="0.25">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3.8" x14ac:dyDescent="0.25">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3.8" x14ac:dyDescent="0.25">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3.8" x14ac:dyDescent="0.25">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3.8" x14ac:dyDescent="0.25">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3.8" x14ac:dyDescent="0.25">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3.8" x14ac:dyDescent="0.25">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3.8" x14ac:dyDescent="0.25">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4" thickBot="1" x14ac:dyDescent="0.3">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4" thickBot="1" x14ac:dyDescent="0.3">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tMaYWxNgN4WzaV2DAJY1cE4pIrNc13hA9MfZ280rwXeaU5rMhPfbM6nPlq/j2KtcHvvF+QE/xWSZv2+7MEBSZQ==" saltValue="gAtPXVOI/s5c/v9jsrULA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 ref="O5:P5"/>
    <mergeCell ref="AH10:AH11"/>
    <mergeCell ref="AI10:AJ10"/>
  </mergeCells>
  <conditionalFormatting sqref="L12:L257">
    <cfRule type="cellIs" dxfId="283" priority="31" operator="equal">
      <formula>"Same distinctiveness band or better"</formula>
    </cfRule>
    <cfRule type="cellIs" dxfId="282" priority="32" operator="equal">
      <formula>"Like for like or better"</formula>
    </cfRule>
    <cfRule type="cellIs" dxfId="281" priority="33" operator="equal">
      <formula>"Like for Like"</formula>
    </cfRule>
  </conditionalFormatting>
  <conditionalFormatting sqref="N12:O257">
    <cfRule type="beginsWith" dxfId="280" priority="29" operator="beginsWith" text="Error">
      <formula>LEFT(N12,LEN("Error"))="Error"</formula>
    </cfRule>
  </conditionalFormatting>
  <conditionalFormatting sqref="O3:O4">
    <cfRule type="containsText" dxfId="279" priority="2" operator="containsText" text="Error">
      <formula>NOT(ISERROR(SEARCH("Error",O3)))</formula>
    </cfRule>
    <cfRule type="containsText" dxfId="278" priority="3" operator="containsText" text="Check">
      <formula>NOT(ISERROR(SEARCH("Check",O3)))</formula>
    </cfRule>
  </conditionalFormatting>
  <conditionalFormatting sqref="O5">
    <cfRule type="containsText" dxfId="277" priority="7" operator="containsText" text="No">
      <formula>NOT(ISERROR(SEARCH("No",O5)))</formula>
    </cfRule>
    <cfRule type="containsText" dxfId="276" priority="8" operator="containsText" text="Yes">
      <formula>NOT(ISERROR(SEARCH("Yes",O5)))</formula>
    </cfRule>
  </conditionalFormatting>
  <conditionalFormatting sqref="O3:P5">
    <cfRule type="containsText" dxfId="275" priority="1" operator="containsText" text="N/A">
      <formula>NOT(ISERROR(SEARCH("N/A",O3)))</formula>
    </cfRule>
  </conditionalFormatting>
  <conditionalFormatting sqref="O4:P4">
    <cfRule type="cellIs" dxfId="274" priority="4" operator="equal">
      <formula>0</formula>
    </cfRule>
    <cfRule type="cellIs" dxfId="273" priority="5" operator="lessThan">
      <formula>0</formula>
    </cfRule>
  </conditionalFormatting>
  <conditionalFormatting sqref="T12:T257">
    <cfRule type="containsText" dxfId="270" priority="6" operator="containsText" text="Not possible">
      <formula>NOT(ISERROR(SEARCH("Not possible",T12)))</formula>
    </cfRule>
  </conditionalFormatting>
  <conditionalFormatting sqref="V12:W257">
    <cfRule type="containsText" dxfId="269" priority="27" operator="containsText" text="Spatial">
      <formula>NOT(ISERROR(SEARCH("Spatial",V12)))</formula>
    </cfRule>
  </conditionalFormatting>
  <conditionalFormatting sqref="X2 X5:AB6">
    <cfRule type="containsText" dxfId="268" priority="16" operator="containsText" text="Note">
      <formula>NOT(ISERROR(SEARCH("Note",X2)))</formula>
    </cfRule>
  </conditionalFormatting>
  <conditionalFormatting sqref="X12:X257">
    <cfRule type="containsText" dxfId="267" priority="25" operator="containsText" text="Error">
      <formula>NOT(ISERROR(SEARCH("Error",X12)))</formula>
    </cfRule>
    <cfRule type="containsText" dxfId="266" priority="26" operator="containsText" text="Check">
      <formula>NOT(ISERROR(SEARCH("Check",X12)))</formula>
    </cfRule>
  </conditionalFormatting>
  <conditionalFormatting sqref="AA12:AC257">
    <cfRule type="containsText" dxfId="265" priority="19" operator="containsText" text="Error">
      <formula>NOT(ISERROR(SEARCH("Error",AA12)))</formula>
    </cfRule>
    <cfRule type="containsText" dxfId="264" priority="20" operator="containsText" text="Check">
      <formula>NOT(ISERROR(SEARCH("Check",AA12)))</formula>
    </cfRule>
  </conditionalFormatting>
  <conditionalFormatting sqref="AB12:AB257">
    <cfRule type="cellIs" dxfId="263" priority="15" operator="equal">
      <formula>"30+ ⚠"</formula>
    </cfRule>
  </conditionalFormatting>
  <conditionalFormatting sqref="AE12:AE257">
    <cfRule type="beginsWith" dxfId="262" priority="17" operator="beginsWith" text="No - Low Difficulty">
      <formula>LEFT(AE12,LEN("No - Low Difficulty"))="No - Low Difficulty"</formula>
    </cfRule>
    <cfRule type="containsText" dxfId="261" priority="18" operator="containsText" text="Check">
      <formula>NOT(ISERROR(SEARCH("Check",AE12)))</formula>
    </cfRule>
  </conditionalFormatting>
  <conditionalFormatting sqref="AH12:AH258">
    <cfRule type="containsText" dxfId="260" priority="34" operator="containsText" text="Existing Value Not Required">
      <formula>NOT(ISERROR(SEARCH("Existing Value Not Required",AH12)))</formula>
    </cfRule>
    <cfRule type="containsText" dxfId="259" priority="35"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8" operator="lessThan" id="{648A280C-F032-4F50-9520-A2A1C0C475E3}">
            <xm:f>Start!$F$22</xm:f>
            <x14:dxf>
              <font>
                <color rgb="FF383745"/>
              </font>
              <fill>
                <patternFill>
                  <bgColor rgb="FFFFC000"/>
                </patternFill>
              </fill>
            </x14:dxf>
          </x14:cfRule>
          <x14:cfRule type="cellIs" priority="439"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4140625" defaultRowHeight="0" customHeight="1" zeroHeight="1" x14ac:dyDescent="0.25"/>
  <cols>
    <col min="1" max="1" width="5" style="30" customWidth="1"/>
    <col min="2" max="2" width="11.44140625" style="30" customWidth="1"/>
    <col min="3" max="3" width="9.5546875" style="30" bestFit="1" customWidth="1"/>
    <col min="4" max="4" width="53.77734375" style="30" bestFit="1" customWidth="1"/>
    <col min="5" max="5" width="8.77734375" style="30" customWidth="1"/>
    <col min="6" max="6" width="17.5546875" style="30" customWidth="1"/>
    <col min="7" max="7" width="9.44140625" style="30" customWidth="1"/>
    <col min="8" max="8" width="13.77734375" style="30" customWidth="1"/>
    <col min="9" max="9" width="9" style="30" customWidth="1"/>
    <col min="10" max="10" width="41.77734375" style="30" customWidth="1"/>
    <col min="11" max="11" width="14.5546875" style="30" customWidth="1"/>
    <col min="12" max="12" width="13.5546875" style="30" customWidth="1"/>
    <col min="13" max="13" width="21.21875" style="30" bestFit="1" customWidth="1"/>
    <col min="14" max="14" width="14.21875" style="30" hidden="1" customWidth="1"/>
    <col min="15" max="15" width="76.77734375" style="30" customWidth="1"/>
    <col min="16" max="16" width="17.5546875" style="30" hidden="1" customWidth="1"/>
    <col min="17" max="17" width="13.21875" style="30" customWidth="1"/>
    <col min="18" max="18" width="3.77734375" style="30" customWidth="1"/>
    <col min="19" max="19" width="10.21875" style="30" bestFit="1" customWidth="1"/>
    <col min="20" max="20" width="11.77734375" style="30" customWidth="1"/>
    <col min="21" max="21" width="10.5546875" style="30" customWidth="1"/>
    <col min="22" max="22" width="11.77734375" style="30" customWidth="1"/>
    <col min="23" max="23" width="13.5546875" style="30" customWidth="1"/>
    <col min="24" max="24" width="8.21875" style="30" customWidth="1"/>
    <col min="25" max="25" width="23.21875" style="30" bestFit="1" customWidth="1"/>
    <col min="26" max="26" width="23.44140625" style="30" bestFit="1" customWidth="1"/>
    <col min="27" max="27" width="12.44140625" style="30" customWidth="1"/>
    <col min="28" max="28" width="12.77734375" style="30" customWidth="1"/>
    <col min="29" max="29" width="8.77734375" style="30" customWidth="1"/>
    <col min="30" max="50" width="0" style="30" hidden="1" customWidth="1"/>
    <col min="51" max="51" width="10.5546875" style="30" hidden="1" customWidth="1"/>
    <col min="52" max="16362" width="0" style="30" hidden="1" customWidth="1"/>
    <col min="16363" max="16383" width="2.44140625" style="30"/>
    <col min="16384" max="16384" width="4.5546875" style="542" customWidth="1"/>
  </cols>
  <sheetData>
    <row r="1" spans="2:51 16384:16384" ht="15.75" customHeight="1" thickBot="1" x14ac:dyDescent="0.3"/>
    <row r="2" spans="2:51 16384:16384" ht="15.75" customHeight="1" thickBot="1" x14ac:dyDescent="0.35">
      <c r="B2" s="1554" t="str">
        <f>CONCATENATE("Project Name:", " ", Start!F12, "     ", "Map Reference:", " ", Start!F66)</f>
        <v xml:space="preserve">Project Name: Broadfield Park Slopes (‘The Slopes’), The Esplanade, Rochdale, OL16 1AQ     Map Reference: </v>
      </c>
      <c r="C2" s="1555"/>
      <c r="D2" s="1556"/>
      <c r="F2" s="1404" t="s">
        <v>380</v>
      </c>
      <c r="G2" s="1405"/>
      <c r="H2" s="1405"/>
      <c r="I2" s="1405"/>
      <c r="J2" s="1406"/>
      <c r="K2" s="309"/>
      <c r="L2" s="309"/>
      <c r="M2" s="309"/>
    </row>
    <row r="3" spans="2:51 16384:16384" ht="15.75" customHeight="1" x14ac:dyDescent="0.25">
      <c r="B3" s="1130" t="str">
        <f ca="1">MID(CELL("filename",A1),FIND("]",CELL("filename",A1))+1,256)</f>
        <v>E-1 Off-Site Hedge Baseline</v>
      </c>
      <c r="C3" s="1131"/>
      <c r="D3" s="1132"/>
      <c r="F3" s="1505" t="s">
        <v>263</v>
      </c>
      <c r="G3" s="1506"/>
      <c r="H3" s="1506"/>
      <c r="I3" s="1501">
        <f>'Headline Results'!H48</f>
        <v>0</v>
      </c>
      <c r="J3" s="1502"/>
    </row>
    <row r="4" spans="2:51 16384:16384" ht="15.75" customHeight="1" thickBot="1" x14ac:dyDescent="0.3">
      <c r="B4" s="1133"/>
      <c r="C4" s="1134"/>
      <c r="D4" s="1135"/>
      <c r="F4" s="1583" t="s">
        <v>265</v>
      </c>
      <c r="G4" s="1584"/>
      <c r="H4" s="1584"/>
      <c r="I4" s="1577">
        <f>'Headline Results'!H52</f>
        <v>0</v>
      </c>
      <c r="J4" s="1578"/>
    </row>
    <row r="5" spans="2:51 16384:16384" ht="22.5" customHeight="1" thickBot="1" x14ac:dyDescent="0.3">
      <c r="F5" s="1582" t="s">
        <v>267</v>
      </c>
      <c r="G5" s="1579"/>
      <c r="H5" s="1579"/>
      <c r="I5" s="1579" t="str" cm="1">
        <f t="array" ref="I5">IF(OR('Trading Summary Hedgerows'!G5:H8="No ▲"), "No - check trading summary ▲", "Yes ✓")</f>
        <v>Yes ✓</v>
      </c>
      <c r="J5" s="1580"/>
    </row>
    <row r="6" spans="2:51 16384:16384" ht="28.95" customHeight="1" x14ac:dyDescent="0.25"/>
    <row r="7" spans="2:51 16384:16384" ht="15.75" customHeight="1" thickBot="1" x14ac:dyDescent="0.3">
      <c r="B7" s="102"/>
      <c r="C7" s="102"/>
      <c r="D7" s="101"/>
    </row>
    <row r="8" spans="2:51 16384:16384" s="33" customFormat="1" ht="31.05" customHeight="1" thickBot="1" x14ac:dyDescent="0.3">
      <c r="B8" s="32"/>
      <c r="C8" s="1573" t="s">
        <v>381</v>
      </c>
      <c r="D8" s="1574"/>
      <c r="E8" s="1575"/>
      <c r="F8" s="1573" t="s">
        <v>269</v>
      </c>
      <c r="G8" s="1575"/>
      <c r="H8" s="1573" t="s">
        <v>357</v>
      </c>
      <c r="I8" s="1575"/>
      <c r="J8" s="1573" t="s">
        <v>271</v>
      </c>
      <c r="K8" s="1574"/>
      <c r="L8" s="1575"/>
      <c r="M8" s="1537" t="s">
        <v>272</v>
      </c>
      <c r="N8" s="134" t="s">
        <v>273</v>
      </c>
      <c r="O8" s="1535" t="s">
        <v>358</v>
      </c>
      <c r="P8" s="1536"/>
      <c r="Q8" s="134" t="s">
        <v>273</v>
      </c>
      <c r="R8" s="107"/>
      <c r="S8" s="1407" t="s">
        <v>274</v>
      </c>
      <c r="T8" s="1408"/>
      <c r="U8" s="1408"/>
      <c r="V8" s="1408"/>
      <c r="W8" s="1408"/>
      <c r="X8" s="1409"/>
      <c r="Y8" s="1407" t="s">
        <v>276</v>
      </c>
      <c r="Z8" s="1409"/>
      <c r="XFD8" s="543"/>
    </row>
    <row r="9" spans="2:51 16384:16384" ht="45" customHeight="1" thickBot="1" x14ac:dyDescent="0.3">
      <c r="B9" s="719" t="s">
        <v>339</v>
      </c>
      <c r="C9" s="132" t="s">
        <v>382</v>
      </c>
      <c r="D9" s="811" t="s">
        <v>161</v>
      </c>
      <c r="E9" s="752" t="s">
        <v>34</v>
      </c>
      <c r="F9" s="132" t="s">
        <v>269</v>
      </c>
      <c r="G9" s="752" t="s">
        <v>286</v>
      </c>
      <c r="H9" s="132" t="s">
        <v>270</v>
      </c>
      <c r="I9" s="752" t="s">
        <v>286</v>
      </c>
      <c r="J9" s="132" t="s">
        <v>271</v>
      </c>
      <c r="K9" s="811" t="s">
        <v>271</v>
      </c>
      <c r="L9" s="752" t="s">
        <v>317</v>
      </c>
      <c r="M9" s="1570"/>
      <c r="N9" s="169" t="s">
        <v>400</v>
      </c>
      <c r="O9" s="853" t="s">
        <v>361</v>
      </c>
      <c r="P9" s="866" t="s">
        <v>358</v>
      </c>
      <c r="Q9" s="169" t="s">
        <v>383</v>
      </c>
      <c r="R9" s="107"/>
      <c r="S9" s="867" t="s">
        <v>384</v>
      </c>
      <c r="T9" s="868" t="s">
        <v>385</v>
      </c>
      <c r="U9" s="869" t="s">
        <v>386</v>
      </c>
      <c r="V9" s="869" t="s">
        <v>387</v>
      </c>
      <c r="W9" s="869" t="s">
        <v>388</v>
      </c>
      <c r="X9" s="870" t="s">
        <v>294</v>
      </c>
      <c r="Y9" s="867" t="s">
        <v>295</v>
      </c>
      <c r="Z9" s="870" t="s">
        <v>296</v>
      </c>
      <c r="AA9" s="43" t="s">
        <v>297</v>
      </c>
      <c r="AB9" s="43" t="s">
        <v>363</v>
      </c>
      <c r="AE9" s="101" t="s">
        <v>280</v>
      </c>
      <c r="AH9" s="124" t="s">
        <v>300</v>
      </c>
      <c r="AI9" s="124" t="s">
        <v>301</v>
      </c>
      <c r="AK9" s="124" t="s">
        <v>303</v>
      </c>
      <c r="AM9" s="124" t="s">
        <v>300</v>
      </c>
      <c r="AN9" s="124" t="s">
        <v>301</v>
      </c>
      <c r="AY9" s="869" t="s">
        <v>386</v>
      </c>
    </row>
    <row r="10" spans="2:51 16384:16384" ht="13.8" x14ac:dyDescent="0.25">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3.8" x14ac:dyDescent="0.25">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3.8" x14ac:dyDescent="0.25">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3.8" x14ac:dyDescent="0.25">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3.8" x14ac:dyDescent="0.25">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3.8" x14ac:dyDescent="0.25">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3.8" x14ac:dyDescent="0.25">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3.8" x14ac:dyDescent="0.25">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3.8" x14ac:dyDescent="0.25">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3.8" x14ac:dyDescent="0.25">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3.8" x14ac:dyDescent="0.25">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3.8" x14ac:dyDescent="0.25">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3.8" x14ac:dyDescent="0.25">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3.8" x14ac:dyDescent="0.25">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3.8" x14ac:dyDescent="0.25">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3.8" x14ac:dyDescent="0.25">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3.8" x14ac:dyDescent="0.25">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3.8" x14ac:dyDescent="0.25">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3.8" x14ac:dyDescent="0.25">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3.8" x14ac:dyDescent="0.25">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3.8" x14ac:dyDescent="0.25">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3.8" x14ac:dyDescent="0.25">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3.8" x14ac:dyDescent="0.25">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3.8" x14ac:dyDescent="0.25">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3.8" x14ac:dyDescent="0.25">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3.8" x14ac:dyDescent="0.25">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3.8" x14ac:dyDescent="0.25">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3.8" x14ac:dyDescent="0.25">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3.8" x14ac:dyDescent="0.25">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3.8" x14ac:dyDescent="0.25">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3.8" x14ac:dyDescent="0.25">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3.8" x14ac:dyDescent="0.25">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3.8" x14ac:dyDescent="0.25">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3.8" x14ac:dyDescent="0.25">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3.8" x14ac:dyDescent="0.25">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3.8" x14ac:dyDescent="0.25">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3.8" x14ac:dyDescent="0.25">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3.8" x14ac:dyDescent="0.25">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3.8" x14ac:dyDescent="0.25">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3.8" x14ac:dyDescent="0.25">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3.8" x14ac:dyDescent="0.25">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3.8" x14ac:dyDescent="0.25">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3.8" x14ac:dyDescent="0.25">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3.8" x14ac:dyDescent="0.25">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3.8" x14ac:dyDescent="0.25">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3.8" x14ac:dyDescent="0.25">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3.8" x14ac:dyDescent="0.25">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3.8" x14ac:dyDescent="0.25">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3.8" x14ac:dyDescent="0.25">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3.8" x14ac:dyDescent="0.25">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3.8" x14ac:dyDescent="0.25">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3.8" x14ac:dyDescent="0.25">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3.8" x14ac:dyDescent="0.25">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3.8" x14ac:dyDescent="0.25">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3.8" x14ac:dyDescent="0.25">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3.8" x14ac:dyDescent="0.25">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3.8" x14ac:dyDescent="0.25">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3.8" x14ac:dyDescent="0.25">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3.8" x14ac:dyDescent="0.25">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3.8" x14ac:dyDescent="0.25">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3.8" x14ac:dyDescent="0.25">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3.8" x14ac:dyDescent="0.25">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3.8" x14ac:dyDescent="0.25">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3.8" x14ac:dyDescent="0.25">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3.8" x14ac:dyDescent="0.25">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3.8" x14ac:dyDescent="0.25">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3.8" x14ac:dyDescent="0.25">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3.8" x14ac:dyDescent="0.25">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3.8" x14ac:dyDescent="0.25">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3.8" x14ac:dyDescent="0.25">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3.8" x14ac:dyDescent="0.25">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3.8" x14ac:dyDescent="0.25">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3.8" x14ac:dyDescent="0.25">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3.8" x14ac:dyDescent="0.25">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3.8" x14ac:dyDescent="0.25">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3.8" x14ac:dyDescent="0.25">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3.8" x14ac:dyDescent="0.25">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3.8" x14ac:dyDescent="0.25">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3.8" x14ac:dyDescent="0.25">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3.8" x14ac:dyDescent="0.25">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3.8" x14ac:dyDescent="0.25">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3.8" x14ac:dyDescent="0.25">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3.8" x14ac:dyDescent="0.25">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3.8" x14ac:dyDescent="0.25">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3.8" x14ac:dyDescent="0.25">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3.8" x14ac:dyDescent="0.25">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3.8" x14ac:dyDescent="0.25">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3.8" x14ac:dyDescent="0.25">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3.8" x14ac:dyDescent="0.25">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3.8" x14ac:dyDescent="0.25">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3.8" x14ac:dyDescent="0.25">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3.8" x14ac:dyDescent="0.25">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3.8" x14ac:dyDescent="0.25">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3.8" x14ac:dyDescent="0.25">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3.8" x14ac:dyDescent="0.25">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3.8" x14ac:dyDescent="0.25">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3.8" x14ac:dyDescent="0.25">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3.8" x14ac:dyDescent="0.25">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3.8" x14ac:dyDescent="0.25">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3.8" x14ac:dyDescent="0.25">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3.8" x14ac:dyDescent="0.25">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3.8" x14ac:dyDescent="0.25">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3.8" x14ac:dyDescent="0.25">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3.8" x14ac:dyDescent="0.25">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3.8" x14ac:dyDescent="0.25">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3.8" x14ac:dyDescent="0.25">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3.8" x14ac:dyDescent="0.25">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3.8" x14ac:dyDescent="0.25">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3.8" x14ac:dyDescent="0.25">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3.8" x14ac:dyDescent="0.25">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3.8" x14ac:dyDescent="0.25">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3.8" x14ac:dyDescent="0.25">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3.8" x14ac:dyDescent="0.25">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3.8" x14ac:dyDescent="0.25">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3.8" x14ac:dyDescent="0.25">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3.8" x14ac:dyDescent="0.25">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3.8" x14ac:dyDescent="0.25">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3.8" x14ac:dyDescent="0.25">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3.8" x14ac:dyDescent="0.25">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3.8" x14ac:dyDescent="0.25">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3.8" x14ac:dyDescent="0.25">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3.8" x14ac:dyDescent="0.25">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3.8" x14ac:dyDescent="0.25">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3.8" x14ac:dyDescent="0.25">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3.8" x14ac:dyDescent="0.25">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3.8" x14ac:dyDescent="0.25">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3.8" x14ac:dyDescent="0.25">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3.8" x14ac:dyDescent="0.25">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3.8" x14ac:dyDescent="0.25">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3.8" x14ac:dyDescent="0.25">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3.8" x14ac:dyDescent="0.25">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3.8" x14ac:dyDescent="0.25">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3.8" x14ac:dyDescent="0.25">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3.8" x14ac:dyDescent="0.25">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3.8" x14ac:dyDescent="0.25">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3.8" x14ac:dyDescent="0.25">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3.8" x14ac:dyDescent="0.25">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3.8" x14ac:dyDescent="0.25">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3.8" x14ac:dyDescent="0.25">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3.8" x14ac:dyDescent="0.25">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3.8" x14ac:dyDescent="0.25">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3.8" x14ac:dyDescent="0.25">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3.8" x14ac:dyDescent="0.25">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3.8" x14ac:dyDescent="0.25">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3.8" x14ac:dyDescent="0.25">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3.8" x14ac:dyDescent="0.25">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3.8" x14ac:dyDescent="0.25">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3.8" x14ac:dyDescent="0.25">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3.8" x14ac:dyDescent="0.25">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3.8" x14ac:dyDescent="0.25">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3.8" x14ac:dyDescent="0.25">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3.8" x14ac:dyDescent="0.25">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3.8" x14ac:dyDescent="0.25">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3.8" x14ac:dyDescent="0.25">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3.8" x14ac:dyDescent="0.25">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3.8" x14ac:dyDescent="0.25">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3.8" x14ac:dyDescent="0.25">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3.8" x14ac:dyDescent="0.25">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3.8" x14ac:dyDescent="0.25">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3.8" x14ac:dyDescent="0.25">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3.8" x14ac:dyDescent="0.25">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3.8" x14ac:dyDescent="0.25">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3.8" x14ac:dyDescent="0.25">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3.8" x14ac:dyDescent="0.25">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3.8" x14ac:dyDescent="0.25">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3.8" x14ac:dyDescent="0.25">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3.8" x14ac:dyDescent="0.25">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3.8" x14ac:dyDescent="0.25">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3.8" x14ac:dyDescent="0.25">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3.8" x14ac:dyDescent="0.25">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3.8" x14ac:dyDescent="0.25">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3.8" x14ac:dyDescent="0.25">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3.8" x14ac:dyDescent="0.25">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3.8" x14ac:dyDescent="0.25">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3.8" x14ac:dyDescent="0.25">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3.8" x14ac:dyDescent="0.25">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3.8" x14ac:dyDescent="0.25">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3.8" x14ac:dyDescent="0.25">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3.8" x14ac:dyDescent="0.25">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3.8" x14ac:dyDescent="0.25">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3.8" x14ac:dyDescent="0.25">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3.8" x14ac:dyDescent="0.25">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3.8" x14ac:dyDescent="0.25">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3.8" x14ac:dyDescent="0.25">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3.8" x14ac:dyDescent="0.25">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3.8" x14ac:dyDescent="0.25">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3.8" x14ac:dyDescent="0.25">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3.8" x14ac:dyDescent="0.25">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3.8" x14ac:dyDescent="0.25">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3.8" x14ac:dyDescent="0.25">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3.8" x14ac:dyDescent="0.25">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3.8" x14ac:dyDescent="0.25">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3.8" x14ac:dyDescent="0.25">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3.8" x14ac:dyDescent="0.25">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3.8" x14ac:dyDescent="0.25">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3.8" x14ac:dyDescent="0.25">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3.8" x14ac:dyDescent="0.25">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3.8" x14ac:dyDescent="0.25">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3.8" x14ac:dyDescent="0.25">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3.8" x14ac:dyDescent="0.25">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3.8" x14ac:dyDescent="0.25">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3.8" x14ac:dyDescent="0.25">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3.8" x14ac:dyDescent="0.25">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3.8" x14ac:dyDescent="0.25">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3.8" x14ac:dyDescent="0.25">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3.8" x14ac:dyDescent="0.25">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3.8" x14ac:dyDescent="0.25">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3.8" x14ac:dyDescent="0.25">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3.8" x14ac:dyDescent="0.25">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3.8" x14ac:dyDescent="0.25">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3.8" x14ac:dyDescent="0.25">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3.8" x14ac:dyDescent="0.25">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3.8" x14ac:dyDescent="0.25">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3.8" x14ac:dyDescent="0.25">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3.8" x14ac:dyDescent="0.25">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3.8" x14ac:dyDescent="0.25">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3.8" x14ac:dyDescent="0.25">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3.8" x14ac:dyDescent="0.25">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3.8" x14ac:dyDescent="0.25">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3.8" x14ac:dyDescent="0.25">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3.8" x14ac:dyDescent="0.25">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3.8" x14ac:dyDescent="0.25">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3.8" x14ac:dyDescent="0.25">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3.8" x14ac:dyDescent="0.25">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3.8" x14ac:dyDescent="0.25">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3.8" x14ac:dyDescent="0.25">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3.8" x14ac:dyDescent="0.25">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3.8" x14ac:dyDescent="0.25">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3.8" x14ac:dyDescent="0.25">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3.8" x14ac:dyDescent="0.25">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3.8" x14ac:dyDescent="0.25">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3.8" x14ac:dyDescent="0.25">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3.8" x14ac:dyDescent="0.25">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3.8" x14ac:dyDescent="0.25">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3.8" x14ac:dyDescent="0.25">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3.8" x14ac:dyDescent="0.25">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3.8" x14ac:dyDescent="0.25">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3.8" x14ac:dyDescent="0.25">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3.8" x14ac:dyDescent="0.25">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3.8" x14ac:dyDescent="0.25">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3.8" x14ac:dyDescent="0.25">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3.8" x14ac:dyDescent="0.25">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3.8" x14ac:dyDescent="0.25">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3.8" x14ac:dyDescent="0.25">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3.8" x14ac:dyDescent="0.25">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3.8" x14ac:dyDescent="0.25">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3.8" x14ac:dyDescent="0.25">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 thickBot="1" x14ac:dyDescent="0.3">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 thickBot="1" x14ac:dyDescent="0.3">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3.8" x14ac:dyDescent="0.25">
      <c r="R259" s="133"/>
      <c r="S259" s="133"/>
      <c r="T259" s="133"/>
      <c r="U259" s="133"/>
      <c r="V259" s="133"/>
      <c r="W259" s="133"/>
      <c r="X259" s="133"/>
      <c r="AY259" s="133"/>
    </row>
    <row r="260" spans="2:51" ht="13.8" x14ac:dyDescent="0.25">
      <c r="B260" s="102"/>
      <c r="C260" s="102"/>
    </row>
    <row r="261" spans="2:51" ht="13.8" x14ac:dyDescent="0.25">
      <c r="B261" s="102"/>
      <c r="C261" s="102"/>
    </row>
    <row r="262" spans="2:51" ht="13.8" x14ac:dyDescent="0.25">
      <c r="B262" s="102"/>
      <c r="C262" s="102"/>
    </row>
    <row r="263" spans="2:51" ht="13.8" x14ac:dyDescent="0.25">
      <c r="B263" s="102"/>
      <c r="C263" s="102"/>
    </row>
    <row r="264" spans="2:51" ht="13.8" x14ac:dyDescent="0.25">
      <c r="B264" s="102"/>
      <c r="C264" s="102"/>
    </row>
    <row r="265" spans="2:51" ht="13.8" x14ac:dyDescent="0.25">
      <c r="B265" s="102"/>
      <c r="C265" s="102"/>
    </row>
    <row r="266" spans="2:51" ht="13.8" x14ac:dyDescent="0.25">
      <c r="B266" s="102"/>
      <c r="C266" s="102"/>
    </row>
    <row r="267" spans="2:51" ht="13.8" hidden="1" x14ac:dyDescent="0.25">
      <c r="B267" s="102"/>
      <c r="C267" s="102"/>
    </row>
    <row r="268" spans="2:51" ht="13.8" hidden="1" x14ac:dyDescent="0.25">
      <c r="B268" s="102"/>
      <c r="C268" s="102"/>
    </row>
    <row r="269" spans="2:51" ht="13.8" hidden="1" x14ac:dyDescent="0.25">
      <c r="B269" s="102"/>
      <c r="C269" s="102"/>
    </row>
    <row r="270" spans="2:51" ht="13.8" hidden="1" x14ac:dyDescent="0.25">
      <c r="B270" s="102"/>
      <c r="C270" s="102"/>
    </row>
    <row r="271" spans="2:51" ht="13.8" hidden="1" x14ac:dyDescent="0.25">
      <c r="B271" s="102"/>
      <c r="C271" s="102"/>
    </row>
    <row r="272" spans="2:51" ht="13.8" hidden="1" x14ac:dyDescent="0.25">
      <c r="B272" s="102"/>
      <c r="C272" s="102"/>
    </row>
  </sheetData>
  <sheetProtection algorithmName="SHA-512" hashValue="EibFLIoNCEa9MuUSO2kyP66xF2WLll3KrvgPX14u9yA2rcJG7Kb6MyyLBmBHhCNl23Hm7vMD1BcTILiDlWIRZw==" saltValue="foWEiZXrHnQH47hWPnilU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 ref="F5:H5"/>
  </mergeCells>
  <conditionalFormatting sqref="I3:I4">
    <cfRule type="containsText" dxfId="258" priority="4" operator="containsText" text="Error">
      <formula>NOT(ISERROR(SEARCH("Error",I3)))</formula>
    </cfRule>
    <cfRule type="containsText" dxfId="257" priority="5" operator="containsText" text="Check">
      <formula>NOT(ISERROR(SEARCH("Check",I3)))</formula>
    </cfRule>
  </conditionalFormatting>
  <conditionalFormatting sqref="I5">
    <cfRule type="containsText" dxfId="256" priority="30" operator="containsText" text="No">
      <formula>NOT(ISERROR(SEARCH("No",I5)))</formula>
    </cfRule>
    <cfRule type="containsText" dxfId="255" priority="31" operator="containsText" text="Yes">
      <formula>NOT(ISERROR(SEARCH("Yes",I5)))</formula>
    </cfRule>
  </conditionalFormatting>
  <conditionalFormatting sqref="I10:I257">
    <cfRule type="containsText" dxfId="254" priority="8" operator="containsText" text="Not possible">
      <formula>NOT(ISERROR(SEARCH("Not possible",I10)))</formula>
    </cfRule>
    <cfRule type="containsText" dxfId="253" priority="43" operator="containsText" text="Error">
      <formula>NOT(ISERROR(SEARCH("Error",I10)))</formula>
    </cfRule>
  </conditionalFormatting>
  <conditionalFormatting sqref="I3:J5">
    <cfRule type="containsText" dxfId="252" priority="1" operator="containsText" text="N/A">
      <formula>NOT(ISERROR(SEARCH("N/A",I3)))</formula>
    </cfRule>
  </conditionalFormatting>
  <conditionalFormatting sqref="I4:J4">
    <cfRule type="cellIs" dxfId="251" priority="3" operator="equal">
      <formula>0</formula>
    </cfRule>
    <cfRule type="cellIs" dxfId="250" priority="6" operator="lessThan">
      <formula>0</formula>
    </cfRule>
  </conditionalFormatting>
  <conditionalFormatting sqref="J9:L9 K10:L35 J36:L257">
    <cfRule type="containsText" dxfId="247" priority="42" operator="containsText" text="Spatial">
      <formula>NOT(ISERROR(SEARCH("Spatial",J9)))</formula>
    </cfRule>
  </conditionalFormatting>
  <conditionalFormatting sqref="M10:M257">
    <cfRule type="cellIs" dxfId="246" priority="39" operator="equal">
      <formula>"Like for like or better"</formula>
    </cfRule>
    <cfRule type="cellIs" dxfId="245" priority="40" operator="equal">
      <formula>"Like for like"</formula>
    </cfRule>
    <cfRule type="containsText" dxfId="244" priority="41" operator="containsText" text="Same distinctiveness">
      <formula>NOT(ISERROR(SEARCH("Same distinctiveness",M10)))</formula>
    </cfRule>
  </conditionalFormatting>
  <conditionalFormatting sqref="O10:O257">
    <cfRule type="containsText" dxfId="243" priority="28" operator="containsText" text="Existing Value Not Required">
      <formula>NOT(ISERROR(SEARCH("Existing Value Not Required",O10)))</formula>
    </cfRule>
    <cfRule type="containsText" dxfId="242" priority="29" operator="containsText" text="Existing Value Required">
      <formula>NOT(ISERROR(SEARCH("Existing Value Required",O10)))</formula>
    </cfRule>
  </conditionalFormatting>
  <conditionalFormatting sqref="O10:P10 P11:P255 O11:O257">
    <cfRule type="containsText" dxfId="241" priority="24" operator="containsText" text="Check">
      <formula>NOT(ISERROR(SEARCH("Check",O10)))</formula>
    </cfRule>
    <cfRule type="containsText" dxfId="240" priority="25" operator="containsText" text="Error">
      <formula>NOT(ISERROR(SEARCH("Error",O10)))</formula>
    </cfRule>
  </conditionalFormatting>
  <conditionalFormatting sqref="P10:P257">
    <cfRule type="containsText" dxfId="239" priority="9" operator="containsText" text="Spatial">
      <formula>NOT(ISERROR(SEARCH("Spatial",P10)))</formula>
    </cfRule>
  </conditionalFormatting>
  <conditionalFormatting sqref="P256:P257">
    <cfRule type="containsText" dxfId="238" priority="10" operator="containsText" text="Check">
      <formula>NOT(ISERROR(SEARCH("Check",P256)))</formula>
    </cfRule>
    <cfRule type="containsText" dxfId="237" priority="11" operator="containsText" text="Error">
      <formula>NOT(ISERROR(SEARCH("Error",P256)))</formula>
    </cfRule>
  </conditionalFormatting>
  <conditionalFormatting sqref="U258:V258">
    <cfRule type="containsText" dxfId="236" priority="7" operator="containsText" text="Error">
      <formula>NOT(ISERROR(SEARCH("Error",U258)))</formula>
    </cfRule>
  </conditionalFormatting>
  <conditionalFormatting sqref="W10:X257">
    <cfRule type="containsText" dxfId="235" priority="38" operator="containsText" text="Error">
      <formula>NOT(ISERROR(SEARCH("Error",W10)))</formula>
    </cfRule>
  </conditionalFormatting>
  <conditionalFormatting sqref="AY258">
    <cfRule type="containsText" dxfId="234" priority="2"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800F3E3C-3EA1-44B0-B5B6-6ED146EB03B0}">
            <xm:f>Start!$F$22</xm:f>
            <x14:dxf>
              <font>
                <color rgb="FF383745"/>
              </font>
              <fill>
                <patternFill>
                  <bgColor rgb="FFFFC000"/>
                </patternFill>
              </fill>
            </x14:dxf>
          </x14:cfRule>
          <x14:cfRule type="cellIs" priority="442"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1.21875" style="30" customWidth="1"/>
    <col min="3" max="3" width="9.21875" style="30" customWidth="1"/>
    <col min="4" max="4" width="60.77734375" style="30" customWidth="1"/>
    <col min="5" max="5" width="10.21875" style="30" customWidth="1"/>
    <col min="6" max="6" width="19.21875" style="30" customWidth="1"/>
    <col min="7" max="7" width="11.77734375" style="30" customWidth="1"/>
    <col min="8" max="8" width="11.5546875" style="30" customWidth="1"/>
    <col min="9" max="9" width="12.5546875" style="30" customWidth="1"/>
    <col min="10" max="10" width="41.77734375" style="30" customWidth="1"/>
    <col min="11" max="11" width="21.21875" style="30" customWidth="1"/>
    <col min="12" max="12" width="12.21875" style="30" customWidth="1"/>
    <col min="13" max="13" width="73.44140625" style="30" customWidth="1"/>
    <col min="14" max="14" width="8.21875" style="30" hidden="1" customWidth="1"/>
    <col min="15" max="17" width="17.77734375" style="30" customWidth="1"/>
    <col min="18" max="18" width="35.5546875" style="30" customWidth="1"/>
    <col min="19" max="19" width="17.77734375" style="30" customWidth="1"/>
    <col min="20" max="20" width="15.21875" style="30" customWidth="1"/>
    <col min="21" max="21" width="15.5546875" style="30" customWidth="1"/>
    <col min="22" max="22" width="25.21875" style="30" customWidth="1"/>
    <col min="23" max="23" width="10.77734375" style="30" customWidth="1"/>
    <col min="24" max="24" width="12.5546875" style="30" customWidth="1"/>
    <col min="25" max="25" width="8.21875" style="30" hidden="1" customWidth="1"/>
    <col min="26" max="26" width="12.77734375" style="30" customWidth="1"/>
    <col min="27" max="28" width="42.5546875" style="30" customWidth="1"/>
    <col min="29" max="29" width="14.77734375" style="30" customWidth="1"/>
    <col min="30" max="30" width="14" style="30" customWidth="1"/>
    <col min="31" max="31" width="8.77734375" style="30" customWidth="1"/>
    <col min="32" max="32" width="10.5546875" style="30" customWidth="1"/>
    <col min="33" max="33" width="10.5546875" style="30" hidden="1" customWidth="1"/>
    <col min="34" max="34" width="15.77734375" style="30" hidden="1" customWidth="1"/>
    <col min="35" max="35" width="8.77734375" style="30" hidden="1" customWidth="1"/>
    <col min="36" max="16384" width="8.77734375" style="30" hidden="1"/>
  </cols>
  <sheetData>
    <row r="1" spans="2:34" ht="15.75" customHeight="1" thickBot="1" x14ac:dyDescent="0.3"/>
    <row r="2" spans="2:34" ht="15.75" customHeight="1" thickBot="1" x14ac:dyDescent="0.35">
      <c r="B2" s="1554" t="str">
        <f>CONCATENATE("Project Name:", " ", Start!F12, "     ", "Map Reference:", " ", Start!K66)</f>
        <v xml:space="preserve">Project Name: Broadfield Park Slopes (‘The Slopes’), The Esplanade, Rochdale, OL16 1AQ     Map Reference: </v>
      </c>
      <c r="C2" s="1555"/>
      <c r="D2" s="1555"/>
      <c r="E2" s="1556"/>
      <c r="I2" s="309"/>
      <c r="J2" s="1404" t="s">
        <v>380</v>
      </c>
      <c r="K2" s="1405"/>
      <c r="L2" s="1405"/>
      <c r="M2" s="1406"/>
      <c r="O2" s="1463" t="str">
        <f>IF(OR(COUNTIF($O$12:O259,"*30+*")&gt;0,COUNTIF($S$12:S259,"*30+*")&gt;0),"Note; Habitat selected has a time to target condition greater than 30 years. Non standard agreement may be required. ⚠","")</f>
        <v/>
      </c>
      <c r="P2" s="1463"/>
      <c r="Q2" s="1463"/>
      <c r="R2" s="1463"/>
      <c r="S2" s="1463"/>
      <c r="T2" s="1463"/>
    </row>
    <row r="3" spans="2:34" ht="15.75" customHeight="1" thickBot="1" x14ac:dyDescent="0.3">
      <c r="B3" s="1557" t="str">
        <f ca="1">MID(CELL("filename",A1),FIND("]",CELL("filename",A1))+1,256)</f>
        <v>E-2 Off-Site Hedge Creation</v>
      </c>
      <c r="C3" s="1558"/>
      <c r="D3" s="1558"/>
      <c r="E3" s="1559"/>
      <c r="I3" s="509"/>
      <c r="J3" s="1505" t="s">
        <v>263</v>
      </c>
      <c r="K3" s="1506"/>
      <c r="L3" s="1506"/>
      <c r="M3" s="512">
        <f>'Headline Results'!H48</f>
        <v>0</v>
      </c>
      <c r="O3" s="1463"/>
      <c r="P3" s="1463"/>
      <c r="Q3" s="1463"/>
      <c r="R3" s="1463"/>
      <c r="S3" s="1463"/>
      <c r="T3" s="1463"/>
    </row>
    <row r="4" spans="2:34" ht="15.75" customHeight="1" thickBot="1" x14ac:dyDescent="0.3">
      <c r="B4" s="1557"/>
      <c r="C4" s="1558"/>
      <c r="D4" s="1558"/>
      <c r="E4" s="1559"/>
      <c r="I4" s="509"/>
      <c r="J4" s="1583" t="s">
        <v>265</v>
      </c>
      <c r="K4" s="1584"/>
      <c r="L4" s="1584"/>
      <c r="M4" s="513">
        <f>'Headline Results'!H52</f>
        <v>0</v>
      </c>
      <c r="O4" s="1463"/>
      <c r="P4" s="1463"/>
      <c r="Q4" s="1463"/>
      <c r="R4" s="1463"/>
      <c r="S4" s="1463"/>
      <c r="T4" s="1463"/>
    </row>
    <row r="5" spans="2:34" ht="15.75" customHeight="1" thickBot="1" x14ac:dyDescent="0.3">
      <c r="J5" s="1582" t="s">
        <v>267</v>
      </c>
      <c r="K5" s="1579"/>
      <c r="L5" s="1579"/>
      <c r="M5" s="504" t="str" cm="1">
        <f t="array" ref="M5">IF(OR('Trading Summary Hedgerows'!G5:H8="No ▲"), "No - check trading summary ▲", "Yes ✓")</f>
        <v>Yes ✓</v>
      </c>
      <c r="N5" s="509"/>
      <c r="O5" s="1463"/>
      <c r="P5" s="1463"/>
      <c r="Q5" s="1463"/>
      <c r="R5" s="1463"/>
      <c r="S5" s="1463"/>
      <c r="T5" s="1463"/>
    </row>
    <row r="6" spans="2:34" ht="15.75" customHeight="1" x14ac:dyDescent="0.25">
      <c r="O6" s="312"/>
      <c r="P6" s="312"/>
      <c r="Q6" s="312"/>
      <c r="R6" s="312"/>
      <c r="S6" s="312"/>
    </row>
    <row r="7" spans="2:34" ht="15.75" customHeight="1" x14ac:dyDescent="0.25">
      <c r="B7" s="102"/>
      <c r="C7" s="102"/>
    </row>
    <row r="8" spans="2:34" ht="13.8" x14ac:dyDescent="0.25">
      <c r="J8" s="101"/>
      <c r="K8" s="101"/>
      <c r="L8" s="101"/>
      <c r="M8" s="101"/>
      <c r="N8" s="101"/>
      <c r="O8" s="101"/>
      <c r="P8" s="101"/>
      <c r="Q8" s="101"/>
      <c r="R8" s="101"/>
      <c r="S8" s="101"/>
      <c r="T8" s="101"/>
      <c r="V8" s="101"/>
      <c r="W8" s="101"/>
      <c r="X8" s="101"/>
    </row>
    <row r="9" spans="2:34" ht="15.75" customHeight="1" thickBot="1" x14ac:dyDescent="0.3">
      <c r="J9" s="101"/>
      <c r="K9" s="101"/>
      <c r="L9" s="101"/>
      <c r="M9" s="107"/>
      <c r="N9" s="107"/>
      <c r="O9" s="163"/>
      <c r="P9" s="163"/>
      <c r="Q9" s="163"/>
      <c r="R9" s="163"/>
      <c r="S9" s="163"/>
      <c r="T9" s="163"/>
      <c r="U9" s="163"/>
      <c r="V9" s="163"/>
      <c r="W9" s="163"/>
      <c r="X9" s="163"/>
    </row>
    <row r="10" spans="2:34" s="33" customFormat="1" ht="40.049999999999997" customHeight="1" thickBot="1" x14ac:dyDescent="0.3">
      <c r="B10" s="32"/>
      <c r="C10" s="32"/>
      <c r="D10" s="1573" t="s">
        <v>389</v>
      </c>
      <c r="E10" s="1575"/>
      <c r="F10" s="1315" t="s">
        <v>269</v>
      </c>
      <c r="G10" s="1317"/>
      <c r="H10" s="1317" t="s">
        <v>357</v>
      </c>
      <c r="I10" s="1313"/>
      <c r="J10" s="1573" t="s">
        <v>271</v>
      </c>
      <c r="K10" s="1574"/>
      <c r="L10" s="1575"/>
      <c r="M10" s="1315" t="s">
        <v>358</v>
      </c>
      <c r="N10" s="1317"/>
      <c r="O10" s="1317" t="s">
        <v>314</v>
      </c>
      <c r="P10" s="1317"/>
      <c r="Q10" s="1317"/>
      <c r="R10" s="1317"/>
      <c r="S10" s="1317"/>
      <c r="T10" s="1317"/>
      <c r="U10" s="1317" t="s">
        <v>337</v>
      </c>
      <c r="V10" s="1317"/>
      <c r="W10" s="1317"/>
      <c r="X10" s="1313"/>
      <c r="Y10" s="1537" t="s">
        <v>401</v>
      </c>
      <c r="Z10" s="1537" t="s">
        <v>390</v>
      </c>
      <c r="AA10" s="1573" t="s">
        <v>276</v>
      </c>
      <c r="AB10" s="1575"/>
    </row>
    <row r="11" spans="2:34" ht="55.8" thickBot="1" x14ac:dyDescent="0.3">
      <c r="B11" s="719" t="s">
        <v>339</v>
      </c>
      <c r="C11" s="719" t="s">
        <v>391</v>
      </c>
      <c r="D11" s="132" t="s">
        <v>33</v>
      </c>
      <c r="E11" s="752" t="s">
        <v>34</v>
      </c>
      <c r="F11" s="132" t="s">
        <v>269</v>
      </c>
      <c r="G11" s="752" t="s">
        <v>286</v>
      </c>
      <c r="H11" s="873" t="s">
        <v>270</v>
      </c>
      <c r="I11" s="752" t="s">
        <v>286</v>
      </c>
      <c r="J11" s="132" t="s">
        <v>271</v>
      </c>
      <c r="K11" s="811" t="s">
        <v>271</v>
      </c>
      <c r="L11" s="752" t="s">
        <v>317</v>
      </c>
      <c r="M11" s="132" t="s">
        <v>361</v>
      </c>
      <c r="N11" s="752" t="s">
        <v>358</v>
      </c>
      <c r="O11" s="132" t="s">
        <v>392</v>
      </c>
      <c r="P11" s="811" t="s">
        <v>370</v>
      </c>
      <c r="Q11" s="811" t="s">
        <v>320</v>
      </c>
      <c r="R11" s="811" t="s">
        <v>321</v>
      </c>
      <c r="S11" s="811" t="s">
        <v>322</v>
      </c>
      <c r="T11" s="752" t="s">
        <v>397</v>
      </c>
      <c r="U11" s="132" t="s">
        <v>324</v>
      </c>
      <c r="V11" s="811" t="s">
        <v>325</v>
      </c>
      <c r="W11" s="811" t="s">
        <v>326</v>
      </c>
      <c r="X11" s="752" t="s">
        <v>327</v>
      </c>
      <c r="Y11" s="1594"/>
      <c r="Z11" s="1594"/>
      <c r="AA11" s="126" t="s">
        <v>295</v>
      </c>
      <c r="AB11" s="861" t="s">
        <v>296</v>
      </c>
      <c r="AC11" s="43" t="s">
        <v>297</v>
      </c>
      <c r="AD11" s="43" t="s">
        <v>363</v>
      </c>
      <c r="AH11" s="101" t="s">
        <v>280</v>
      </c>
    </row>
    <row r="12" spans="2:34" ht="13.8" x14ac:dyDescent="0.25">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3.8" x14ac:dyDescent="0.25">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3.8" x14ac:dyDescent="0.25">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3.8" x14ac:dyDescent="0.25">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3.8" x14ac:dyDescent="0.25">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3.8" x14ac:dyDescent="0.25">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3.8" x14ac:dyDescent="0.25">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3.8" x14ac:dyDescent="0.25">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3.8" x14ac:dyDescent="0.25">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3.8" x14ac:dyDescent="0.25">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3.8" x14ac:dyDescent="0.25">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3.8" x14ac:dyDescent="0.25">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3.8" x14ac:dyDescent="0.25">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3.8" x14ac:dyDescent="0.25">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3.8" x14ac:dyDescent="0.25">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3.8" x14ac:dyDescent="0.25">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3.8" x14ac:dyDescent="0.25">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3.8" x14ac:dyDescent="0.25">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3.8" x14ac:dyDescent="0.25">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3.8" x14ac:dyDescent="0.25">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3.8" x14ac:dyDescent="0.25">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3.8" x14ac:dyDescent="0.25">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3.8" x14ac:dyDescent="0.25">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3.8" x14ac:dyDescent="0.25">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3.8" x14ac:dyDescent="0.25">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3.8" x14ac:dyDescent="0.25">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3.8" x14ac:dyDescent="0.25">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3.8" x14ac:dyDescent="0.25">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3.8" x14ac:dyDescent="0.25">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3.8" x14ac:dyDescent="0.25">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3.8" x14ac:dyDescent="0.25">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3.8" x14ac:dyDescent="0.25">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3.8" x14ac:dyDescent="0.25">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3.8" x14ac:dyDescent="0.25">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3.8" x14ac:dyDescent="0.25">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3.8" x14ac:dyDescent="0.25">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3.8" x14ac:dyDescent="0.25">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3.8" x14ac:dyDescent="0.25">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3.8" x14ac:dyDescent="0.25">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3.8" x14ac:dyDescent="0.25">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3.8" x14ac:dyDescent="0.25">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3.8" x14ac:dyDescent="0.25">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3.8" x14ac:dyDescent="0.25">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3.8" x14ac:dyDescent="0.25">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3.8" x14ac:dyDescent="0.25">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3.8" x14ac:dyDescent="0.25">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3.8" x14ac:dyDescent="0.25">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3.8" x14ac:dyDescent="0.25">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3.8" x14ac:dyDescent="0.25">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3.8" x14ac:dyDescent="0.25">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3.8" x14ac:dyDescent="0.25">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3.8" x14ac:dyDescent="0.25">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3.8" x14ac:dyDescent="0.25">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3.8" x14ac:dyDescent="0.25">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3.8" x14ac:dyDescent="0.25">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3.8" x14ac:dyDescent="0.25">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3.8" x14ac:dyDescent="0.25">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3.8" x14ac:dyDescent="0.25">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3.8" x14ac:dyDescent="0.25">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3.8" x14ac:dyDescent="0.25">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3.8" x14ac:dyDescent="0.25">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3.8" x14ac:dyDescent="0.25">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3.8" x14ac:dyDescent="0.25">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3.8" x14ac:dyDescent="0.25">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3.8" x14ac:dyDescent="0.25">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3.8" x14ac:dyDescent="0.25">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3.8" x14ac:dyDescent="0.25">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3.8" x14ac:dyDescent="0.25">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3.8" x14ac:dyDescent="0.25">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3.8" x14ac:dyDescent="0.25">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3.8" x14ac:dyDescent="0.25">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3.8" x14ac:dyDescent="0.25">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3.8" x14ac:dyDescent="0.25">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3.8" x14ac:dyDescent="0.25">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3.8" x14ac:dyDescent="0.25">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3.8" x14ac:dyDescent="0.25">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3.8" x14ac:dyDescent="0.25">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3.8" x14ac:dyDescent="0.25">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3.8" x14ac:dyDescent="0.25">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3.8" x14ac:dyDescent="0.25">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3.8" x14ac:dyDescent="0.25">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3.8" x14ac:dyDescent="0.25">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3.8" x14ac:dyDescent="0.25">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3.8" x14ac:dyDescent="0.25">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3.8" x14ac:dyDescent="0.25">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3.8" x14ac:dyDescent="0.25">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3.8" x14ac:dyDescent="0.25">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3.8" x14ac:dyDescent="0.25">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3.8" x14ac:dyDescent="0.25">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3.8" x14ac:dyDescent="0.25">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3.8" x14ac:dyDescent="0.25">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3.8" x14ac:dyDescent="0.25">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3.8" x14ac:dyDescent="0.25">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3.8" x14ac:dyDescent="0.25">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3.8" x14ac:dyDescent="0.25">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3.8" x14ac:dyDescent="0.25">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3.8" x14ac:dyDescent="0.25">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3.8" x14ac:dyDescent="0.25">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3.8" x14ac:dyDescent="0.25">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3.8" x14ac:dyDescent="0.25">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3.8" x14ac:dyDescent="0.25">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3.8" x14ac:dyDescent="0.25">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3.8" x14ac:dyDescent="0.25">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3.8" x14ac:dyDescent="0.25">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3.8" x14ac:dyDescent="0.25">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3.8" x14ac:dyDescent="0.25">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3.8" x14ac:dyDescent="0.25">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3.8" x14ac:dyDescent="0.25">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3.8" x14ac:dyDescent="0.25">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3.8" x14ac:dyDescent="0.25">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3.8" x14ac:dyDescent="0.25">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3.8" x14ac:dyDescent="0.25">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3.8" x14ac:dyDescent="0.25">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3.8" x14ac:dyDescent="0.25">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3.8" x14ac:dyDescent="0.25">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3.8" x14ac:dyDescent="0.25">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3.8" x14ac:dyDescent="0.25">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3.8" x14ac:dyDescent="0.25">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3.8" x14ac:dyDescent="0.25">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3.8" x14ac:dyDescent="0.25">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3.8" x14ac:dyDescent="0.25">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3.8" x14ac:dyDescent="0.25">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3.8" x14ac:dyDescent="0.25">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3.8" x14ac:dyDescent="0.25">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3.8" x14ac:dyDescent="0.25">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3.8" x14ac:dyDescent="0.25">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3.8" x14ac:dyDescent="0.25">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3.8" x14ac:dyDescent="0.25">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3.8" x14ac:dyDescent="0.25">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3.8" x14ac:dyDescent="0.25">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3.8" x14ac:dyDescent="0.25">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3.8" x14ac:dyDescent="0.25">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3.8" x14ac:dyDescent="0.25">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3.8" x14ac:dyDescent="0.25">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3.8" x14ac:dyDescent="0.25">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3.8" x14ac:dyDescent="0.25">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3.8" x14ac:dyDescent="0.25">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3.8" x14ac:dyDescent="0.25">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3.8" x14ac:dyDescent="0.25">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3.8" x14ac:dyDescent="0.25">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3.8" x14ac:dyDescent="0.25">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3.8" x14ac:dyDescent="0.25">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3.8" x14ac:dyDescent="0.25">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3.8" x14ac:dyDescent="0.25">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3.8" x14ac:dyDescent="0.25">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3.8" x14ac:dyDescent="0.25">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3.8" x14ac:dyDescent="0.25">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3.8" x14ac:dyDescent="0.25">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3.8" x14ac:dyDescent="0.25">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3.8" x14ac:dyDescent="0.25">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3.8" x14ac:dyDescent="0.25">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3.8" x14ac:dyDescent="0.25">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3.8" x14ac:dyDescent="0.25">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3.8" x14ac:dyDescent="0.25">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3.8" x14ac:dyDescent="0.25">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3.8" x14ac:dyDescent="0.25">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3.8" x14ac:dyDescent="0.25">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3.8" x14ac:dyDescent="0.25">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3.8" x14ac:dyDescent="0.25">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3.8" x14ac:dyDescent="0.25">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3.8" x14ac:dyDescent="0.25">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3.8" x14ac:dyDescent="0.25">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3.8" x14ac:dyDescent="0.25">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3.8" x14ac:dyDescent="0.25">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3.8" x14ac:dyDescent="0.25">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3.8" x14ac:dyDescent="0.25">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3.8" x14ac:dyDescent="0.25">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3.8" x14ac:dyDescent="0.25">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3.8" x14ac:dyDescent="0.25">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3.8" x14ac:dyDescent="0.25">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3.8" x14ac:dyDescent="0.25">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3.8" x14ac:dyDescent="0.25">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3.8" x14ac:dyDescent="0.25">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3.8" x14ac:dyDescent="0.25">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3.8" x14ac:dyDescent="0.25">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3.8" x14ac:dyDescent="0.25">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3.8" x14ac:dyDescent="0.25">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3.8" x14ac:dyDescent="0.25">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3.8" x14ac:dyDescent="0.25">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3.8" x14ac:dyDescent="0.25">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3.8" x14ac:dyDescent="0.25">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3.8" x14ac:dyDescent="0.25">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3.8" x14ac:dyDescent="0.25">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3.8" x14ac:dyDescent="0.25">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3.8" x14ac:dyDescent="0.25">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3.8" x14ac:dyDescent="0.25">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3.8" x14ac:dyDescent="0.25">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3.8" x14ac:dyDescent="0.25">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3.8" x14ac:dyDescent="0.25">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3.8" x14ac:dyDescent="0.25">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3.8" x14ac:dyDescent="0.25">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3.8" x14ac:dyDescent="0.25">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3.8" x14ac:dyDescent="0.25">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3.8" x14ac:dyDescent="0.25">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3.8" x14ac:dyDescent="0.25">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3.8" x14ac:dyDescent="0.25">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3.8" x14ac:dyDescent="0.25">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3.8" x14ac:dyDescent="0.25">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3.8" x14ac:dyDescent="0.25">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3.8" x14ac:dyDescent="0.25">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3.8" x14ac:dyDescent="0.25">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3.8" x14ac:dyDescent="0.25">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3.8" x14ac:dyDescent="0.25">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3.8" x14ac:dyDescent="0.25">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3.8" x14ac:dyDescent="0.25">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3.8" x14ac:dyDescent="0.25">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3.8" x14ac:dyDescent="0.25">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3.8" x14ac:dyDescent="0.25">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3.8" x14ac:dyDescent="0.25">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3.8" x14ac:dyDescent="0.25">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3.8" x14ac:dyDescent="0.25">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3.8" x14ac:dyDescent="0.25">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3.8" x14ac:dyDescent="0.25">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3.8" x14ac:dyDescent="0.25">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3.8" x14ac:dyDescent="0.25">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3.8" x14ac:dyDescent="0.25">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3.8" x14ac:dyDescent="0.25">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3.8" x14ac:dyDescent="0.25">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3.8" x14ac:dyDescent="0.25">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3.8" x14ac:dyDescent="0.25">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3.8" x14ac:dyDescent="0.25">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3.8" x14ac:dyDescent="0.25">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3.8" x14ac:dyDescent="0.25">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3.8" x14ac:dyDescent="0.25">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3.8" x14ac:dyDescent="0.25">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3.8" x14ac:dyDescent="0.25">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3.8" x14ac:dyDescent="0.25">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3.8" x14ac:dyDescent="0.25">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3.8" x14ac:dyDescent="0.25">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3.8" x14ac:dyDescent="0.25">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3.8" x14ac:dyDescent="0.25">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3.8" x14ac:dyDescent="0.25">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3.8" x14ac:dyDescent="0.25">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3.8" x14ac:dyDescent="0.25">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3.8" x14ac:dyDescent="0.25">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3.8" x14ac:dyDescent="0.25">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3.8" x14ac:dyDescent="0.25">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3.8" x14ac:dyDescent="0.25">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3.8" x14ac:dyDescent="0.25">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3.8" x14ac:dyDescent="0.25">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3.8" x14ac:dyDescent="0.25">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3.8" x14ac:dyDescent="0.25">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3.8" x14ac:dyDescent="0.25">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3.8" x14ac:dyDescent="0.25">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3.8" x14ac:dyDescent="0.25">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3.8" x14ac:dyDescent="0.25">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3.8" x14ac:dyDescent="0.25">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 thickBot="1" x14ac:dyDescent="0.3">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 thickBot="1" x14ac:dyDescent="0.3">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93"/>
      <c r="X260" s="1593"/>
      <c r="Y260" s="366">
        <f>SUM(Y12:Y259)</f>
        <v>0</v>
      </c>
      <c r="Z260" s="366">
        <f>SUM(Z12:Z259)</f>
        <v>0</v>
      </c>
      <c r="AA260" s="34"/>
      <c r="AB260" s="34"/>
    </row>
    <row r="261" spans="2:34" ht="28.95" customHeight="1" x14ac:dyDescent="0.25">
      <c r="E261" s="1585"/>
      <c r="F261" s="1585"/>
      <c r="G261" s="1585"/>
      <c r="H261" s="1585"/>
      <c r="I261" s="1585"/>
      <c r="J261" s="1585"/>
    </row>
    <row r="262" spans="2:34" ht="27" customHeight="1" x14ac:dyDescent="0.25"/>
    <row r="263" spans="2:34" ht="13.8" x14ac:dyDescent="0.25"/>
    <row r="264" spans="2:34" ht="13.8" x14ac:dyDescent="0.25"/>
    <row r="265" spans="2:34" ht="13.8" x14ac:dyDescent="0.25"/>
    <row r="266" spans="2:34" ht="13.8" hidden="1" x14ac:dyDescent="0.25"/>
    <row r="267" spans="2:34" ht="13.8" hidden="1" x14ac:dyDescent="0.25"/>
    <row r="268" spans="2:34" ht="13.8" hidden="1" x14ac:dyDescent="0.25"/>
  </sheetData>
  <sheetProtection algorithmName="SHA-512" hashValue="FRtbmhlIkmh2V7BhXKwdWaUOT1mitPX2eGjEuZYumZLssGCjw8NMChr3rJJ6kbL6DvPiUxpJQgesJbJyENEcCA==" saltValue="fqs255XNdO7HeBgPVNORS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2:E2"/>
    <mergeCell ref="B3:E4"/>
    <mergeCell ref="D10:E10"/>
    <mergeCell ref="M10:N10"/>
    <mergeCell ref="O10:T10"/>
    <mergeCell ref="F10:G10"/>
    <mergeCell ref="H10:I10"/>
    <mergeCell ref="O2:T5"/>
    <mergeCell ref="J3:L3"/>
    <mergeCell ref="J4:L4"/>
    <mergeCell ref="J2:M2"/>
    <mergeCell ref="J5:L5"/>
    <mergeCell ref="W260:X260"/>
    <mergeCell ref="E261:J261"/>
    <mergeCell ref="Y10:Y11"/>
    <mergeCell ref="AA10:AB10"/>
    <mergeCell ref="J10:L10"/>
    <mergeCell ref="U10:X10"/>
    <mergeCell ref="Z10:Z11"/>
  </mergeCells>
  <conditionalFormatting sqref="E261:J261">
    <cfRule type="containsText" dxfId="233" priority="129" operator="containsText" text="Check">
      <formula>NOT(ISERROR(SEARCH("Check",E261)))</formula>
    </cfRule>
  </conditionalFormatting>
  <conditionalFormatting sqref="I12:I259">
    <cfRule type="containsText" dxfId="232" priority="13" operator="containsText" text="Not possible">
      <formula>NOT(ISERROR(SEARCH("Not possible",I12)))</formula>
    </cfRule>
  </conditionalFormatting>
  <conditionalFormatting sqref="I12:Y259">
    <cfRule type="containsText" dxfId="231" priority="135" operator="containsText" text="Error">
      <formula>NOT(ISERROR(SEARCH("Error",I12)))</formula>
    </cfRule>
  </conditionalFormatting>
  <conditionalFormatting sqref="K12:L259">
    <cfRule type="containsText" dxfId="230" priority="134" operator="containsText" text="Spatial">
      <formula>NOT(ISERROR(SEARCH("Spatial",K12)))</formula>
    </cfRule>
  </conditionalFormatting>
  <conditionalFormatting sqref="M3:M4">
    <cfRule type="containsText" dxfId="229" priority="3" operator="containsText" text="Error">
      <formula>NOT(ISERROR(SEARCH("Error",M3)))</formula>
    </cfRule>
    <cfRule type="containsText" dxfId="228" priority="4" operator="containsText" text="Check">
      <formula>NOT(ISERROR(SEARCH("Check",M3)))</formula>
    </cfRule>
  </conditionalFormatting>
  <conditionalFormatting sqref="M3:M5">
    <cfRule type="containsText" dxfId="227" priority="1" operator="containsText" text="N/A">
      <formula>NOT(ISERROR(SEARCH("N/A",M3)))</formula>
    </cfRule>
  </conditionalFormatting>
  <conditionalFormatting sqref="M4">
    <cfRule type="cellIs" dxfId="226" priority="2" operator="equal">
      <formula>0</formula>
    </cfRule>
    <cfRule type="cellIs" dxfId="225" priority="5" operator="lessThan">
      <formula>0</formula>
    </cfRule>
  </conditionalFormatting>
  <conditionalFormatting sqref="M5">
    <cfRule type="containsText" dxfId="222" priority="14" operator="containsText" text="No">
      <formula>NOT(ISERROR(SEARCH("No",M5)))</formula>
    </cfRule>
    <cfRule type="containsText" dxfId="221" priority="15" operator="containsText" text="Yes">
      <formula>NOT(ISERROR(SEARCH("Yes",M5)))</formula>
    </cfRule>
  </conditionalFormatting>
  <conditionalFormatting sqref="M12:M259">
    <cfRule type="containsText" dxfId="220" priority="140" operator="containsText" text="Existing Value Not Required">
      <formula>NOT(ISERROR(SEARCH("Existing Value Not Required",M12)))</formula>
    </cfRule>
    <cfRule type="containsText" dxfId="219" priority="141" operator="containsText" text="Existing Value Required">
      <formula>NOT(ISERROR(SEARCH("Existing Value Required",M12)))</formula>
    </cfRule>
  </conditionalFormatting>
  <conditionalFormatting sqref="M13:M259">
    <cfRule type="containsText" dxfId="218" priority="136" operator="containsText" text="Existing Value Not Required">
      <formula>NOT(ISERROR(SEARCH("Existing Value Not Required",M13)))</formula>
    </cfRule>
    <cfRule type="containsText" dxfId="217" priority="137" operator="containsText" text="Existing Value Required">
      <formula>NOT(ISERROR(SEARCH("Existing Value Required",M13)))</formula>
    </cfRule>
  </conditionalFormatting>
  <conditionalFormatting sqref="M17:M27">
    <cfRule type="containsText" dxfId="216" priority="33" operator="containsText" text="Existing Value Required">
      <formula>NOT(ISERROR(SEARCH("Existing Value Required",M17)))</formula>
    </cfRule>
    <cfRule type="containsText" dxfId="215" priority="34" operator="containsText" text="Existing Value Not Required">
      <formula>NOT(ISERROR(SEARCH("Existing Value Not Required",M17)))</formula>
    </cfRule>
  </conditionalFormatting>
  <conditionalFormatting sqref="M22:M27">
    <cfRule type="containsText" dxfId="214" priority="22" operator="containsText" text="Existing Value Not Required">
      <formula>NOT(ISERROR(SEARCH("Existing Value Not Required",M22)))</formula>
    </cfRule>
  </conditionalFormatting>
  <conditionalFormatting sqref="M23:M27">
    <cfRule type="containsText" dxfId="213" priority="23" operator="containsText" text="Existing Value Required">
      <formula>NOT(ISERROR(SEARCH("Existing Value Required",M23)))</formula>
    </cfRule>
  </conditionalFormatting>
  <conditionalFormatting sqref="N12:N259">
    <cfRule type="containsText" dxfId="212" priority="133" operator="containsText" text="Spatial">
      <formula>NOT(ISERROR(SEARCH("Spatial",N12)))</formula>
    </cfRule>
  </conditionalFormatting>
  <conditionalFormatting sqref="O2 O6:S6">
    <cfRule type="containsText" dxfId="211" priority="132" operator="containsText" text="Note">
      <formula>NOT(ISERROR(SEARCH("Note",O2)))</formula>
    </cfRule>
  </conditionalFormatting>
  <conditionalFormatting sqref="R12:Y259">
    <cfRule type="containsText" dxfId="210" priority="131" operator="containsText" text="Check">
      <formula>NOT(ISERROR(SEARCH("Check",R12)))</formula>
    </cfRule>
    <cfRule type="containsText" dxfId="209" priority="122" operator="containsText" text="30+">
      <formula>NOT(ISERROR(SEARCH("30+",R12)))</formula>
    </cfRule>
  </conditionalFormatting>
  <conditionalFormatting sqref="V12:V259">
    <cfRule type="beginsWith" dxfId="208" priority="130" operator="beginsWith" text="No">
      <formula>LEFT(V12,LEN("No"))="No"</formula>
    </cfRule>
  </conditionalFormatting>
  <conditionalFormatting sqref="Y12:Y259">
    <cfRule type="containsText" dxfId="207" priority="138" operator="containsText" text="Existing Value Not Required">
      <formula>NOT(ISERROR(SEARCH("Existing Value Not Required",Y12)))</formula>
    </cfRule>
    <cfRule type="containsText" dxfId="206" priority="139" operator="containsText" text="Existing Value Required">
      <formula>NOT(ISERROR(SEARCH("Existing Value Required",Y12)))</formula>
    </cfRule>
  </conditionalFormatting>
  <conditionalFormatting sqref="Z12:Z259">
    <cfRule type="containsText" dxfId="205" priority="6" operator="containsText" text="30+">
      <formula>NOT(ISERROR(SEARCH("30+",Z12)))</formula>
    </cfRule>
    <cfRule type="containsText" dxfId="204" priority="7" operator="containsText" text="Check">
      <formula>NOT(ISERROR(SEARCH("Check",Z12)))</formula>
    </cfRule>
    <cfRule type="containsText" dxfId="203" priority="8" operator="containsText" text="Error">
      <formula>NOT(ISERROR(SEARCH("Error",Z12)))</formula>
    </cfRule>
    <cfRule type="containsText" dxfId="202" priority="9" operator="containsText" text="Existing Value Not Required">
      <formula>NOT(ISERROR(SEARCH("Existing Value Not Required",Z12)))</formula>
    </cfRule>
    <cfRule type="containsText" dxfId="201" priority="10"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2" operator="lessThan" id="{193CDB16-95C6-403F-B2FD-D15A53D5A91A}">
            <xm:f>Start!$F$22</xm:f>
            <x14:dxf>
              <font>
                <color rgb="FF383745"/>
              </font>
              <fill>
                <patternFill>
                  <bgColor rgb="FFFFC000"/>
                </patternFill>
              </fill>
            </x14:dxf>
          </x14:cfRule>
          <x14:cfRule type="cellIs" priority="443"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1" style="30" customWidth="1"/>
    <col min="3" max="3" width="52.44140625" style="30" customWidth="1"/>
    <col min="4" max="4" width="8.77734375" style="30" customWidth="1"/>
    <col min="5" max="5" width="17.77734375" style="30" customWidth="1"/>
    <col min="6" max="7" width="18.21875" style="30" customWidth="1"/>
    <col min="8" max="11" width="19.21875" style="30" customWidth="1"/>
    <col min="12" max="12" width="23" style="30" customWidth="1"/>
    <col min="13" max="13" width="47.44140625" style="30" customWidth="1"/>
    <col min="14" max="14" width="34.21875" style="30" customWidth="1"/>
    <col min="15" max="15" width="44.5546875" style="30" customWidth="1"/>
    <col min="16" max="16" width="10.77734375" style="30" customWidth="1"/>
    <col min="17" max="17" width="18.21875" style="30" customWidth="1"/>
    <col min="18" max="18" width="13.5546875" style="30" customWidth="1"/>
    <col min="19" max="19" width="14.77734375" style="30" customWidth="1"/>
    <col min="20" max="20" width="13.5546875" style="30" customWidth="1"/>
    <col min="21" max="21" width="41.77734375" style="30" customWidth="1"/>
    <col min="22" max="22" width="15.44140625" style="30" customWidth="1"/>
    <col min="23" max="23" width="12.21875" style="30" customWidth="1"/>
    <col min="24" max="24" width="17.77734375" style="30" customWidth="1"/>
    <col min="25" max="25" width="20.77734375" style="30" customWidth="1"/>
    <col min="26" max="26" width="23" style="30" customWidth="1"/>
    <col min="27" max="27" width="29.5546875" style="30" customWidth="1"/>
    <col min="28" max="28" width="17.77734375" style="30" customWidth="1"/>
    <col min="29" max="29" width="15.21875" style="30" customWidth="1"/>
    <col min="30" max="30" width="15.5546875" style="30" customWidth="1"/>
    <col min="31" max="31" width="26.21875" style="30" customWidth="1"/>
    <col min="32" max="32" width="15.21875" style="30" customWidth="1"/>
    <col min="33" max="33" width="12.77734375" style="30" customWidth="1"/>
    <col min="34" max="34" width="68.21875" style="30" customWidth="1"/>
    <col min="35" max="35" width="13.44140625" style="30" hidden="1" customWidth="1"/>
    <col min="36" max="36" width="9.77734375" style="30" hidden="1" customWidth="1"/>
    <col min="37" max="37" width="12.77734375" style="30" customWidth="1"/>
    <col min="38" max="38" width="39" style="30" customWidth="1"/>
    <col min="39" max="39" width="38.44140625" style="30" customWidth="1"/>
    <col min="40" max="40" width="14.77734375" style="30" customWidth="1"/>
    <col min="41" max="41" width="15.5546875" style="30" customWidth="1"/>
    <col min="42" max="42" width="12.5546875" style="30" customWidth="1"/>
    <col min="43" max="43" width="15.77734375" style="30" hidden="1" customWidth="1"/>
    <col min="44" max="16384" width="8.77734375" style="30" hidden="1"/>
  </cols>
  <sheetData>
    <row r="1" spans="2:43" ht="15.75" customHeight="1" thickBot="1" x14ac:dyDescent="0.3"/>
    <row r="2" spans="2:43" ht="19.95" customHeight="1" thickBot="1" x14ac:dyDescent="0.3">
      <c r="B2" s="1600" t="str">
        <f>CONCATENATE("Project Name:", " ", Start!F12, "     ", "Map Reference:", " ", Start!K66)</f>
        <v xml:space="preserve">Project Name: Broadfield Park Slopes (‘The Slopes’), The Esplanade, Rochdale, OL16 1AQ     Map Reference: </v>
      </c>
      <c r="C2" s="1601"/>
      <c r="N2" s="1595" t="s">
        <v>380</v>
      </c>
      <c r="O2" s="1596"/>
      <c r="X2" s="1463" t="str">
        <f>IF(OR(COUNTIF($X$12:X257,"*30+*")&gt;0,COUNTIF($AB$12:AB257,"*30+*")&gt;0),"Note; Habitat selected has a time to target condition greater than 30 years. Non standard agreement may be required. ⚠","")</f>
        <v/>
      </c>
      <c r="Y2" s="1463"/>
      <c r="Z2" s="1463"/>
      <c r="AA2" s="1463"/>
      <c r="AB2" s="1463"/>
      <c r="AC2" s="1463"/>
    </row>
    <row r="3" spans="2:43" ht="19.2" customHeight="1" thickBot="1" x14ac:dyDescent="0.3">
      <c r="B3" s="1557" t="str">
        <f ca="1">MID(CELL("filename",A1),FIND("]",CELL("filename",A1))+1,256)</f>
        <v>E-3 Off-Site Hedge Enhancement</v>
      </c>
      <c r="C3" s="1559"/>
      <c r="H3" s="509"/>
      <c r="I3" s="509"/>
      <c r="N3" s="535" t="s">
        <v>263</v>
      </c>
      <c r="O3" s="512">
        <f>'Headline Results'!H48</f>
        <v>0</v>
      </c>
      <c r="X3" s="1463"/>
      <c r="Y3" s="1463"/>
      <c r="Z3" s="1463"/>
      <c r="AA3" s="1463"/>
      <c r="AB3" s="1463"/>
      <c r="AC3" s="1463"/>
    </row>
    <row r="4" spans="2:43" ht="15.75" customHeight="1" thickBot="1" x14ac:dyDescent="0.3">
      <c r="B4" s="1557"/>
      <c r="C4" s="1559"/>
      <c r="H4" s="509"/>
      <c r="I4" s="509"/>
      <c r="N4" s="506" t="s">
        <v>265</v>
      </c>
      <c r="O4" s="513">
        <f>'Headline Results'!H52</f>
        <v>0</v>
      </c>
      <c r="X4" s="1463"/>
      <c r="Y4" s="1463"/>
      <c r="Z4" s="1463"/>
      <c r="AA4" s="1463"/>
      <c r="AB4" s="1463"/>
      <c r="AC4" s="1463"/>
    </row>
    <row r="5" spans="2:43" ht="15.75" customHeight="1" thickBot="1" x14ac:dyDescent="0.35">
      <c r="H5" s="509"/>
      <c r="I5" s="509"/>
      <c r="N5" s="536" t="s">
        <v>267</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6" customHeight="1" x14ac:dyDescent="0.25"/>
    <row r="7" spans="2:43" ht="14.4" thickBot="1" x14ac:dyDescent="0.3">
      <c r="B7" s="102"/>
      <c r="C7" s="102"/>
      <c r="M7" s="101"/>
    </row>
    <row r="8" spans="2:43" ht="14.4" thickBot="1" x14ac:dyDescent="0.3">
      <c r="M8" s="1542" t="s">
        <v>402</v>
      </c>
      <c r="N8" s="1543"/>
      <c r="O8" s="1543"/>
      <c r="P8" s="1543"/>
      <c r="Q8" s="1543"/>
      <c r="R8" s="1543"/>
      <c r="S8" s="1543"/>
      <c r="T8" s="1543"/>
      <c r="U8" s="1543"/>
      <c r="V8" s="1543"/>
      <c r="W8" s="1543"/>
      <c r="X8" s="1543"/>
      <c r="Y8" s="1543"/>
      <c r="Z8" s="1543"/>
      <c r="AA8" s="1543"/>
      <c r="AB8" s="1543"/>
      <c r="AC8" s="1543"/>
      <c r="AD8" s="1543"/>
      <c r="AE8" s="1543"/>
      <c r="AF8" s="1543"/>
      <c r="AG8" s="1543"/>
      <c r="AH8" s="1543"/>
      <c r="AI8" s="1544"/>
    </row>
    <row r="9" spans="2:43" ht="14.4" thickBot="1" x14ac:dyDescent="0.3">
      <c r="C9" s="101"/>
      <c r="D9" s="101"/>
      <c r="E9" s="101"/>
      <c r="F9" s="101"/>
      <c r="G9" s="101"/>
      <c r="H9" s="101"/>
      <c r="I9" s="101"/>
      <c r="J9" s="101"/>
      <c r="K9" s="101"/>
      <c r="L9" s="101"/>
      <c r="M9" s="1597" t="s">
        <v>334</v>
      </c>
      <c r="N9" s="1598"/>
      <c r="O9" s="1598"/>
      <c r="P9" s="1598"/>
      <c r="Q9" s="1598"/>
      <c r="R9" s="1598"/>
      <c r="S9" s="1598"/>
      <c r="T9" s="1598"/>
      <c r="U9" s="1598"/>
      <c r="V9" s="1598"/>
      <c r="W9" s="1598"/>
      <c r="X9" s="1598"/>
      <c r="Y9" s="1598"/>
      <c r="Z9" s="1598"/>
      <c r="AA9" s="1598"/>
      <c r="AB9" s="1598"/>
      <c r="AC9" s="1598"/>
      <c r="AD9" s="1598"/>
      <c r="AE9" s="1598"/>
      <c r="AF9" s="1598"/>
      <c r="AG9" s="1598"/>
      <c r="AH9" s="1598"/>
      <c r="AI9" s="1599"/>
    </row>
    <row r="10" spans="2:43" s="33" customFormat="1" ht="30" customHeight="1" thickBot="1" x14ac:dyDescent="0.3">
      <c r="C10" s="1532" t="s">
        <v>332</v>
      </c>
      <c r="D10" s="1602"/>
      <c r="E10" s="1602"/>
      <c r="F10" s="1602"/>
      <c r="G10" s="1602"/>
      <c r="H10" s="1602"/>
      <c r="I10" s="1602"/>
      <c r="J10" s="1602"/>
      <c r="K10" s="1602"/>
      <c r="L10" s="1533"/>
      <c r="M10" s="1532" t="s">
        <v>403</v>
      </c>
      <c r="N10" s="1315" t="s">
        <v>334</v>
      </c>
      <c r="O10" s="1313"/>
      <c r="P10" s="1534" t="s">
        <v>34</v>
      </c>
      <c r="Q10" s="1315" t="s">
        <v>269</v>
      </c>
      <c r="R10" s="1313"/>
      <c r="S10" s="1315" t="s">
        <v>270</v>
      </c>
      <c r="T10" s="1313"/>
      <c r="U10" s="1573" t="s">
        <v>271</v>
      </c>
      <c r="V10" s="1574"/>
      <c r="W10" s="1575"/>
      <c r="X10" s="1573" t="s">
        <v>314</v>
      </c>
      <c r="Y10" s="1574"/>
      <c r="Z10" s="1574"/>
      <c r="AA10" s="1574"/>
      <c r="AB10" s="1574"/>
      <c r="AC10" s="1575"/>
      <c r="AD10" s="1552" t="s">
        <v>337</v>
      </c>
      <c r="AE10" s="1552"/>
      <c r="AF10" s="1552"/>
      <c r="AG10" s="1552"/>
      <c r="AH10" s="749" t="s">
        <v>358</v>
      </c>
      <c r="AI10" s="1537" t="s">
        <v>358</v>
      </c>
      <c r="AJ10" s="1537" t="s">
        <v>401</v>
      </c>
      <c r="AK10" s="1537" t="s">
        <v>390</v>
      </c>
      <c r="AL10" s="1573" t="s">
        <v>276</v>
      </c>
      <c r="AM10" s="1575"/>
    </row>
    <row r="11" spans="2:43" ht="62.25" customHeight="1" thickBot="1" x14ac:dyDescent="0.3">
      <c r="B11" s="140" t="s">
        <v>339</v>
      </c>
      <c r="C11" s="145" t="s">
        <v>340</v>
      </c>
      <c r="D11" s="145" t="s">
        <v>34</v>
      </c>
      <c r="E11" s="145" t="s">
        <v>342</v>
      </c>
      <c r="F11" s="145" t="s">
        <v>343</v>
      </c>
      <c r="G11" s="145" t="s">
        <v>344</v>
      </c>
      <c r="H11" s="145" t="s">
        <v>345</v>
      </c>
      <c r="I11" s="145" t="s">
        <v>346</v>
      </c>
      <c r="J11" s="145" t="s">
        <v>347</v>
      </c>
      <c r="K11" s="145" t="s">
        <v>348</v>
      </c>
      <c r="L11" s="144" t="s">
        <v>272</v>
      </c>
      <c r="M11" s="1532"/>
      <c r="N11" s="126" t="s">
        <v>395</v>
      </c>
      <c r="O11" s="861" t="s">
        <v>396</v>
      </c>
      <c r="P11" s="1534"/>
      <c r="Q11" s="126" t="s">
        <v>269</v>
      </c>
      <c r="R11" s="861" t="s">
        <v>286</v>
      </c>
      <c r="S11" s="126" t="s">
        <v>270</v>
      </c>
      <c r="T11" s="861" t="s">
        <v>286</v>
      </c>
      <c r="U11" s="126" t="s">
        <v>271</v>
      </c>
      <c r="V11" s="874" t="s">
        <v>271</v>
      </c>
      <c r="W11" s="861" t="s">
        <v>317</v>
      </c>
      <c r="X11" s="132" t="s">
        <v>392</v>
      </c>
      <c r="Y11" s="811" t="s">
        <v>377</v>
      </c>
      <c r="Z11" s="811" t="s">
        <v>354</v>
      </c>
      <c r="AA11" s="811" t="s">
        <v>321</v>
      </c>
      <c r="AB11" s="811" t="s">
        <v>322</v>
      </c>
      <c r="AC11" s="752" t="s">
        <v>397</v>
      </c>
      <c r="AD11" s="132" t="s">
        <v>398</v>
      </c>
      <c r="AE11" s="811" t="s">
        <v>1679</v>
      </c>
      <c r="AF11" s="811" t="s">
        <v>399</v>
      </c>
      <c r="AG11" s="752" t="s">
        <v>327</v>
      </c>
      <c r="AH11" s="126" t="s">
        <v>361</v>
      </c>
      <c r="AI11" s="1594"/>
      <c r="AJ11" s="1570"/>
      <c r="AK11" s="1570"/>
      <c r="AL11" s="126" t="s">
        <v>295</v>
      </c>
      <c r="AM11" s="861" t="s">
        <v>296</v>
      </c>
      <c r="AN11" s="43" t="s">
        <v>297</v>
      </c>
      <c r="AO11" s="43" t="s">
        <v>363</v>
      </c>
      <c r="AQ11" s="101" t="s">
        <v>280</v>
      </c>
    </row>
    <row r="12" spans="2:43" ht="13.8" x14ac:dyDescent="0.25">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3.8" x14ac:dyDescent="0.25">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3.8" x14ac:dyDescent="0.25">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3.8" x14ac:dyDescent="0.25">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3.8" x14ac:dyDescent="0.25">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3.8" x14ac:dyDescent="0.25">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3.8" x14ac:dyDescent="0.25">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3.8" x14ac:dyDescent="0.25">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3.8" x14ac:dyDescent="0.25">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3.8" x14ac:dyDescent="0.25">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3.8" x14ac:dyDescent="0.25">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3.8" x14ac:dyDescent="0.25">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3.8" x14ac:dyDescent="0.25">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3.8" x14ac:dyDescent="0.25">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3.8" x14ac:dyDescent="0.25">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3.8" x14ac:dyDescent="0.25">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3.8" x14ac:dyDescent="0.25">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3.8" x14ac:dyDescent="0.25">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3.8" x14ac:dyDescent="0.25">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3.8" x14ac:dyDescent="0.25">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3.8" x14ac:dyDescent="0.25">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3.8" x14ac:dyDescent="0.25">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3.8" x14ac:dyDescent="0.25">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3.8" x14ac:dyDescent="0.25">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3.8" x14ac:dyDescent="0.25">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3.8" x14ac:dyDescent="0.25">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3.8" x14ac:dyDescent="0.25">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3.8" x14ac:dyDescent="0.25">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3.8" x14ac:dyDescent="0.25">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3.8" x14ac:dyDescent="0.25">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3.8" x14ac:dyDescent="0.25">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3.8" x14ac:dyDescent="0.25">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3.8" x14ac:dyDescent="0.25">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3.8" x14ac:dyDescent="0.25">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3.8" x14ac:dyDescent="0.25">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3.8" x14ac:dyDescent="0.25">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3.8" x14ac:dyDescent="0.25">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3.8" x14ac:dyDescent="0.25">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3.8" x14ac:dyDescent="0.25">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3.8" x14ac:dyDescent="0.25">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3.8" x14ac:dyDescent="0.25">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3.8" x14ac:dyDescent="0.25">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3.8" x14ac:dyDescent="0.25">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3.8" x14ac:dyDescent="0.25">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3.8" x14ac:dyDescent="0.25">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3.8" x14ac:dyDescent="0.25">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3.8" x14ac:dyDescent="0.25">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3.8" x14ac:dyDescent="0.25">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3.8" x14ac:dyDescent="0.25">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3.8" x14ac:dyDescent="0.25">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3.8" x14ac:dyDescent="0.25">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3.8" x14ac:dyDescent="0.25">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3.8" x14ac:dyDescent="0.25">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3.8" x14ac:dyDescent="0.25">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3.8" x14ac:dyDescent="0.25">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3.8" x14ac:dyDescent="0.25">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3.8" x14ac:dyDescent="0.25">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3.8" x14ac:dyDescent="0.25">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3.8" x14ac:dyDescent="0.25">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3.8" x14ac:dyDescent="0.25">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3.8" x14ac:dyDescent="0.25">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3.8" x14ac:dyDescent="0.25">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3.8" x14ac:dyDescent="0.25">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3.8" x14ac:dyDescent="0.25">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3.8" x14ac:dyDescent="0.25">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3.8" x14ac:dyDescent="0.25">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3.8" x14ac:dyDescent="0.25">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3.8" x14ac:dyDescent="0.25">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3.8" x14ac:dyDescent="0.25">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3.8" x14ac:dyDescent="0.25">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3.8" x14ac:dyDescent="0.25">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3.8" x14ac:dyDescent="0.25">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3.8" x14ac:dyDescent="0.25">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3.8" x14ac:dyDescent="0.25">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3.8" x14ac:dyDescent="0.25">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3.8" x14ac:dyDescent="0.25">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3.8" x14ac:dyDescent="0.25">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3.8" x14ac:dyDescent="0.25">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3.8" x14ac:dyDescent="0.25">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3.8" x14ac:dyDescent="0.25">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3.8" x14ac:dyDescent="0.25">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3.8" x14ac:dyDescent="0.25">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3.8" x14ac:dyDescent="0.25">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3.8" x14ac:dyDescent="0.25">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3.8" x14ac:dyDescent="0.25">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3.8" x14ac:dyDescent="0.25">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3.8" x14ac:dyDescent="0.25">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3.8" x14ac:dyDescent="0.25">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3.8" x14ac:dyDescent="0.25">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3.8" x14ac:dyDescent="0.25">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3.8" x14ac:dyDescent="0.25">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3.8" x14ac:dyDescent="0.25">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3.8" x14ac:dyDescent="0.25">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3.8" x14ac:dyDescent="0.25">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3.8" x14ac:dyDescent="0.25">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3.8" x14ac:dyDescent="0.25">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3.8" x14ac:dyDescent="0.25">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3.8" x14ac:dyDescent="0.25">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3.8" x14ac:dyDescent="0.25">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3.8" x14ac:dyDescent="0.25">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3.8" x14ac:dyDescent="0.25">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3.8" x14ac:dyDescent="0.25">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3.8" x14ac:dyDescent="0.25">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3.8" x14ac:dyDescent="0.25">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3.8" x14ac:dyDescent="0.25">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3.8" x14ac:dyDescent="0.25">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3.8" x14ac:dyDescent="0.25">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3.8" x14ac:dyDescent="0.25">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3.8" x14ac:dyDescent="0.25">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3.8" x14ac:dyDescent="0.25">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3.8" x14ac:dyDescent="0.25">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3.8" x14ac:dyDescent="0.25">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3.8" x14ac:dyDescent="0.25">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3.8" x14ac:dyDescent="0.25">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3.8" x14ac:dyDescent="0.25">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3.8" x14ac:dyDescent="0.25">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3.8" x14ac:dyDescent="0.25">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3.8" x14ac:dyDescent="0.25">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3.8" x14ac:dyDescent="0.25">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3.8" x14ac:dyDescent="0.25">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3.8" x14ac:dyDescent="0.25">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3.8" x14ac:dyDescent="0.25">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3.8" x14ac:dyDescent="0.25">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3.8" x14ac:dyDescent="0.25">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3.8" x14ac:dyDescent="0.25">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3.8" x14ac:dyDescent="0.25">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3.8" x14ac:dyDescent="0.25">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3.8" x14ac:dyDescent="0.25">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3.8" x14ac:dyDescent="0.25">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3.8" x14ac:dyDescent="0.25">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3.8" x14ac:dyDescent="0.25">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3.8" x14ac:dyDescent="0.25">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3.8" x14ac:dyDescent="0.25">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3.8" x14ac:dyDescent="0.25">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3.8" x14ac:dyDescent="0.25">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3.8" x14ac:dyDescent="0.25">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3.8" x14ac:dyDescent="0.25">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3.8" x14ac:dyDescent="0.25">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3.8" x14ac:dyDescent="0.25">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3.8" x14ac:dyDescent="0.25">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3.8" x14ac:dyDescent="0.25">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3.8" x14ac:dyDescent="0.25">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3.8" x14ac:dyDescent="0.25">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3.8" x14ac:dyDescent="0.25">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3.8" x14ac:dyDescent="0.25">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3.8" x14ac:dyDescent="0.25">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3.8" x14ac:dyDescent="0.25">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3.8" x14ac:dyDescent="0.25">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3.8" x14ac:dyDescent="0.25">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3.8" x14ac:dyDescent="0.25">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3.8" x14ac:dyDescent="0.25">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3.8" x14ac:dyDescent="0.25">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3.8" x14ac:dyDescent="0.25">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3.8" x14ac:dyDescent="0.25">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3.8" x14ac:dyDescent="0.25">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3.8" x14ac:dyDescent="0.25">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3.8" x14ac:dyDescent="0.25">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3.8" x14ac:dyDescent="0.25">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3.8" x14ac:dyDescent="0.25">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3.8" x14ac:dyDescent="0.25">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3.8" x14ac:dyDescent="0.25">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3.8" x14ac:dyDescent="0.25">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3.8" x14ac:dyDescent="0.25">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3.8" x14ac:dyDescent="0.25">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3.8" x14ac:dyDescent="0.25">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3.8" x14ac:dyDescent="0.25">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3.8" x14ac:dyDescent="0.25">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3.8" x14ac:dyDescent="0.25">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3.8" x14ac:dyDescent="0.25">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3.8" x14ac:dyDescent="0.25">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3.8" x14ac:dyDescent="0.25">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3.8" x14ac:dyDescent="0.25">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3.8" x14ac:dyDescent="0.25">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3.8" x14ac:dyDescent="0.25">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3.8" x14ac:dyDescent="0.25">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3.8" x14ac:dyDescent="0.25">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3.8" x14ac:dyDescent="0.25">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3.8" x14ac:dyDescent="0.25">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3.8" x14ac:dyDescent="0.25">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3.8" x14ac:dyDescent="0.25">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3.8" x14ac:dyDescent="0.25">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3.8" x14ac:dyDescent="0.25">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3.8" x14ac:dyDescent="0.25">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3.8" x14ac:dyDescent="0.25">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3.8" x14ac:dyDescent="0.25">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3.8" x14ac:dyDescent="0.25">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3.8" x14ac:dyDescent="0.25">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3.8" x14ac:dyDescent="0.25">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3.8" x14ac:dyDescent="0.25">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3.8" x14ac:dyDescent="0.25">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3.8" x14ac:dyDescent="0.25">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3.8" x14ac:dyDescent="0.25">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3.8" x14ac:dyDescent="0.25">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3.8" x14ac:dyDescent="0.25">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3.8" x14ac:dyDescent="0.25">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3.8" x14ac:dyDescent="0.25">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3.8" x14ac:dyDescent="0.25">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3.8" x14ac:dyDescent="0.25">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3.8" x14ac:dyDescent="0.25">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3.8" x14ac:dyDescent="0.25">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3.8" x14ac:dyDescent="0.25">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3.8" x14ac:dyDescent="0.25">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3.8" x14ac:dyDescent="0.25">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3.8" x14ac:dyDescent="0.25">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3.8" x14ac:dyDescent="0.25">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3.8" x14ac:dyDescent="0.25">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3.8" x14ac:dyDescent="0.25">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3.8" x14ac:dyDescent="0.25">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3.8" x14ac:dyDescent="0.25">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3.8" x14ac:dyDescent="0.25">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3.8" x14ac:dyDescent="0.25">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3.8" x14ac:dyDescent="0.25">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3.8" x14ac:dyDescent="0.25">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3.8" x14ac:dyDescent="0.25">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3.8" x14ac:dyDescent="0.25">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3.8" x14ac:dyDescent="0.25">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3.8" x14ac:dyDescent="0.25">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3.8" x14ac:dyDescent="0.25">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3.8" x14ac:dyDescent="0.25">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3.8" x14ac:dyDescent="0.25">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3.8" x14ac:dyDescent="0.25">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3.8" x14ac:dyDescent="0.25">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3.8" x14ac:dyDescent="0.25">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3.8" x14ac:dyDescent="0.25">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3.8" x14ac:dyDescent="0.25">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3.8" x14ac:dyDescent="0.25">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3.8" x14ac:dyDescent="0.25">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3.8" x14ac:dyDescent="0.25">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3.8" x14ac:dyDescent="0.25">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3.8" x14ac:dyDescent="0.25">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3.8" x14ac:dyDescent="0.25">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3.8" x14ac:dyDescent="0.25">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3.8" x14ac:dyDescent="0.25">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3.8" x14ac:dyDescent="0.25">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3.8" x14ac:dyDescent="0.25">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3.8" x14ac:dyDescent="0.25">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3.8" x14ac:dyDescent="0.25">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3.8" x14ac:dyDescent="0.25">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3.8" x14ac:dyDescent="0.25">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3.8" x14ac:dyDescent="0.25">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3.8" x14ac:dyDescent="0.25">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3.8" x14ac:dyDescent="0.25">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3.8" x14ac:dyDescent="0.25">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3.8" x14ac:dyDescent="0.25">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3.8" x14ac:dyDescent="0.25">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 thickBot="1" x14ac:dyDescent="0.3">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 thickBot="1" x14ac:dyDescent="0.3">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3.8" x14ac:dyDescent="0.25"/>
    <row r="260" spans="2:43" ht="13.8" x14ac:dyDescent="0.25"/>
    <row r="261" spans="2:43" ht="13.8" x14ac:dyDescent="0.25"/>
    <row r="262" spans="2:43" ht="13.8" x14ac:dyDescent="0.25"/>
    <row r="263" spans="2:43" ht="13.8" x14ac:dyDescent="0.25"/>
    <row r="264" spans="2:43" ht="13.8" x14ac:dyDescent="0.25"/>
    <row r="265" spans="2:43" ht="13.8" x14ac:dyDescent="0.25"/>
    <row r="266" spans="2:43" ht="13.8" x14ac:dyDescent="0.25"/>
    <row r="267" spans="2:43" ht="15" hidden="1" customHeight="1" x14ac:dyDescent="0.25"/>
    <row r="268" spans="2:43" ht="15" hidden="1" customHeight="1" x14ac:dyDescent="0.25"/>
    <row r="269" spans="2:43" ht="15" hidden="1" customHeight="1" x14ac:dyDescent="0.25"/>
    <row r="270" spans="2:43" ht="15" hidden="1" customHeight="1" x14ac:dyDescent="0.25"/>
    <row r="271" spans="2:43" ht="15" hidden="1" customHeight="1" x14ac:dyDescent="0.25"/>
    <row r="272" spans="2:43"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Gt1lRI8Dp7C27ctw6zOUS+R+h6k4Hd1GBKqjjFpwBTDF7Cma0SCzBCGaDUUHIiVkZwO/8LSwAtsu9UJXcpSJA==" saltValue="/8opW+c/IwKkpcb7i7Qom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AJ10:AJ11"/>
    <mergeCell ref="AL10:AM10"/>
    <mergeCell ref="C10:L10"/>
    <mergeCell ref="U10:W10"/>
    <mergeCell ref="P10:P11"/>
    <mergeCell ref="AK10:AK11"/>
    <mergeCell ref="N2:O2"/>
    <mergeCell ref="M8:AI8"/>
    <mergeCell ref="M9:AI9"/>
    <mergeCell ref="M10:M11"/>
    <mergeCell ref="B3:C4"/>
    <mergeCell ref="X10:AC10"/>
    <mergeCell ref="AD10:AG10"/>
    <mergeCell ref="AI10:AI11"/>
    <mergeCell ref="N10:O10"/>
    <mergeCell ref="Q10:R10"/>
    <mergeCell ref="S10:T10"/>
    <mergeCell ref="X2:AC4"/>
    <mergeCell ref="B2:C2"/>
  </mergeCells>
  <conditionalFormatting sqref="L12:L257">
    <cfRule type="cellIs" dxfId="200" priority="250" operator="equal">
      <formula>"Same distinctiveness band or better"</formula>
    </cfRule>
    <cfRule type="cellIs" dxfId="199" priority="251" operator="equal">
      <formula>"Like for like or better"</formula>
    </cfRule>
    <cfRule type="cellIs" dxfId="198" priority="252" operator="equal">
      <formula>"Like for Like"</formula>
    </cfRule>
  </conditionalFormatting>
  <conditionalFormatting sqref="N12:R12 V12:AG12 T12:T257 Q13:R37 V13:W43 N13:P257 X13:AG257 Q38:S257 U44:W257">
    <cfRule type="containsText" dxfId="197" priority="249" operator="containsText" text="Error">
      <formula>NOT(ISERROR(SEARCH("Error",N12)))</formula>
    </cfRule>
  </conditionalFormatting>
  <conditionalFormatting sqref="O3">
    <cfRule type="containsText" dxfId="196" priority="18" operator="containsText" text="Error">
      <formula>NOT(ISERROR(SEARCH("Error",O3)))</formula>
    </cfRule>
    <cfRule type="containsText" dxfId="195" priority="19" operator="containsText" text="Check">
      <formula>NOT(ISERROR(SEARCH("Check",O3)))</formula>
    </cfRule>
  </conditionalFormatting>
  <conditionalFormatting sqref="O3:O5">
    <cfRule type="containsText" dxfId="194" priority="1" operator="containsText" text="N/A">
      <formula>NOT(ISERROR(SEARCH("N/A",O3)))</formula>
    </cfRule>
  </conditionalFormatting>
  <conditionalFormatting sqref="O4">
    <cfRule type="cellIs" dxfId="193" priority="2" operator="equal">
      <formula>0</formula>
    </cfRule>
    <cfRule type="containsText" dxfId="192" priority="3" operator="containsText" text="Error">
      <formula>NOT(ISERROR(SEARCH("Error",O4)))</formula>
    </cfRule>
    <cfRule type="containsText" dxfId="191" priority="4" operator="containsText" text="Check">
      <formula>NOT(ISERROR(SEARCH("Check",O4)))</formula>
    </cfRule>
    <cfRule type="cellIs" dxfId="190" priority="14" operator="greaterThanOrEqual">
      <formula>0.1</formula>
    </cfRule>
    <cfRule type="cellIs" dxfId="189" priority="15" operator="lessThan">
      <formula>0</formula>
    </cfRule>
  </conditionalFormatting>
  <conditionalFormatting sqref="O5">
    <cfRule type="containsText" dxfId="187" priority="12" operator="containsText" text="No">
      <formula>NOT(ISERROR(SEARCH("No",O5)))</formula>
    </cfRule>
    <cfRule type="containsText" dxfId="186" priority="13" operator="containsText" text="Yes">
      <formula>NOT(ISERROR(SEARCH("Yes",O5)))</formula>
    </cfRule>
  </conditionalFormatting>
  <conditionalFormatting sqref="T12:T257 N12:R12 V12:AG12 Q13:R37 V13:W43 N13:P257 X13:AG257 Q38:S257 U44:W257">
    <cfRule type="containsText" dxfId="185" priority="245" operator="containsText" text="30+">
      <formula>NOT(ISERROR(SEARCH("30+",N12)))</formula>
    </cfRule>
    <cfRule type="beginsWith" dxfId="184" priority="246" operator="beginsWith" text="No">
      <formula>LEFT(N12,LEN("No"))="No"</formula>
    </cfRule>
    <cfRule type="containsText" dxfId="183" priority="247" operator="containsText" text="Spatial">
      <formula>NOT(ISERROR(SEARCH("Spatial",N12)))</formula>
    </cfRule>
    <cfRule type="containsText" dxfId="182" priority="248" operator="containsText" text="Check">
      <formula>NOT(ISERROR(SEARCH("Check",N12)))</formula>
    </cfRule>
  </conditionalFormatting>
  <conditionalFormatting sqref="T12:T257">
    <cfRule type="containsText" dxfId="181" priority="11" operator="containsText" text="Not possible">
      <formula>NOT(ISERROR(SEARCH("Not possible",T12)))</formula>
    </cfRule>
  </conditionalFormatting>
  <conditionalFormatting sqref="U12:U43">
    <cfRule type="containsText" dxfId="180" priority="20" operator="containsText" text="Error">
      <formula>NOT(ISERROR(SEARCH("Error",U12)))</formula>
    </cfRule>
  </conditionalFormatting>
  <conditionalFormatting sqref="X2">
    <cfRule type="containsText" dxfId="179" priority="244" operator="containsText" text="Note">
      <formula>NOT(ISERROR(SEARCH("Note",X2)))</formula>
    </cfRule>
  </conditionalFormatting>
  <conditionalFormatting sqref="AH12:AH257">
    <cfRule type="containsText" dxfId="178" priority="241" operator="containsText" text="Existing Value Not Required">
      <formula>NOT(ISERROR(SEARCH("Existing Value Not Required",AH12)))</formula>
    </cfRule>
    <cfRule type="containsText" dxfId="177" priority="242" operator="containsText" text="Existing Value Required">
      <formula>NOT(ISERROR(SEARCH("Existing Value Required",AH12)))</formula>
    </cfRule>
  </conditionalFormatting>
  <conditionalFormatting sqref="AH12:AK257">
    <cfRule type="containsText" dxfId="176" priority="10" operator="containsText" text="Error">
      <formula>NOT(ISERROR(SEARCH("Error",AH12)))</formula>
    </cfRule>
  </conditionalFormatting>
  <conditionalFormatting sqref="AI12:AK257">
    <cfRule type="containsText" dxfId="175" priority="6" operator="containsText" text="30+">
      <formula>NOT(ISERROR(SEARCH("30+",AI12)))</formula>
    </cfRule>
    <cfRule type="beginsWith" dxfId="174" priority="7" operator="beginsWith" text="No">
      <formula>LEFT(AI12,LEN("No"))="No"</formula>
    </cfRule>
    <cfRule type="containsText" dxfId="173" priority="8" operator="containsText" text="Spatial">
      <formula>NOT(ISERROR(SEARCH("Spatial",AI12)))</formula>
    </cfRule>
    <cfRule type="containsText" dxfId="172" priority="9"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4"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77734375" defaultRowHeight="0" customHeight="1" zeroHeight="1" x14ac:dyDescent="0.25"/>
  <cols>
    <col min="1" max="1" width="3" style="30" customWidth="1"/>
    <col min="2" max="2" width="3.21875" style="102" customWidth="1"/>
    <col min="3" max="3" width="12.77734375" style="102" customWidth="1"/>
    <col min="4" max="4" width="55" style="30" customWidth="1"/>
    <col min="5" max="5" width="10.77734375" style="30" customWidth="1"/>
    <col min="6" max="6" width="17.77734375" style="30" customWidth="1"/>
    <col min="7" max="7" width="8.77734375" style="30" customWidth="1"/>
    <col min="8" max="8" width="14.21875" style="30" bestFit="1" customWidth="1"/>
    <col min="9" max="9" width="11.77734375" style="30" customWidth="1"/>
    <col min="10" max="10" width="33.77734375" style="30" customWidth="1"/>
    <col min="11" max="12" width="14.77734375" style="30" customWidth="1"/>
    <col min="13" max="13" width="17.21875" style="30" customWidth="1"/>
    <col min="14" max="14" width="13.5546875" style="30" customWidth="1"/>
    <col min="15" max="15" width="25.21875" style="30" customWidth="1"/>
    <col min="16" max="16" width="14.44140625" style="30" customWidth="1"/>
    <col min="17" max="17" width="14.21875" style="30" customWidth="1"/>
    <col min="18" max="18" width="15" style="30" customWidth="1"/>
    <col min="19" max="19" width="3.77734375" style="30" customWidth="1"/>
    <col min="20" max="21" width="12.21875" style="30" customWidth="1"/>
    <col min="22" max="22" width="13.44140625" style="30" customWidth="1"/>
    <col min="23" max="23" width="12.21875" style="30" customWidth="1"/>
    <col min="24" max="24" width="19.21875" style="30" customWidth="1"/>
    <col min="25" max="25" width="16.44140625" style="30" customWidth="1"/>
    <col min="26" max="26" width="17.44140625" style="30" customWidth="1"/>
    <col min="27" max="28" width="50.21875" style="30" customWidth="1"/>
    <col min="29" max="29" width="16.21875" style="30" customWidth="1"/>
    <col min="30" max="30" width="8.77734375" style="30" hidden="1" customWidth="1"/>
    <col min="31" max="31" width="6.5546875" style="30" hidden="1" customWidth="1"/>
    <col min="32" max="37" width="8.77734375" style="30" hidden="1" customWidth="1"/>
    <col min="38" max="38" width="11.77734375" style="30" hidden="1" customWidth="1"/>
    <col min="39" max="42" width="8.77734375" style="30" hidden="1" customWidth="1"/>
    <col min="43" max="43" width="19.5546875" style="30" hidden="1" customWidth="1"/>
    <col min="44" max="44" width="35" style="30" hidden="1" customWidth="1"/>
    <col min="45" max="45" width="8.77734375" style="30" customWidth="1"/>
    <col min="46" max="16383" width="8.77734375" style="30"/>
    <col min="16384" max="16384" width="7" style="30" customWidth="1"/>
  </cols>
  <sheetData>
    <row r="1" spans="2:44" ht="12.75" customHeight="1" thickBot="1" x14ac:dyDescent="0.3">
      <c r="B1" s="30"/>
      <c r="C1" s="30"/>
    </row>
    <row r="2" spans="2:44" ht="19.5" customHeight="1" thickBot="1" x14ac:dyDescent="0.3">
      <c r="B2" s="1600" t="str">
        <f>CONCATENATE("Project Name:", " ", Start!F12, "     ", "Map Reference:", " ", Start!F55)</f>
        <v xml:space="preserve">Project Name: Broadfield Park Slopes (‘The Slopes’), The Esplanade, Rochdale, OL16 1AQ     Map Reference: </v>
      </c>
      <c r="C2" s="1603"/>
      <c r="D2" s="1601"/>
      <c r="F2" s="1595" t="s">
        <v>404</v>
      </c>
      <c r="G2" s="1607"/>
      <c r="H2" s="1607"/>
      <c r="I2" s="1607"/>
      <c r="J2" s="1596"/>
      <c r="L2" s="1518" t="str" cm="1">
        <f t="array" ref="L2">IF(OR(H10:H257 = "Fairly Good", H10:H257 = "Fairly Poor"),"A 'Fairly' Category has been used - check evidence to ensure this is appropriate ⚠", "")</f>
        <v/>
      </c>
      <c r="M2" s="1518"/>
      <c r="N2" s="1518"/>
      <c r="O2" s="1518"/>
      <c r="P2" s="1518"/>
      <c r="Q2" s="1518"/>
      <c r="R2" s="1518"/>
    </row>
    <row r="3" spans="2:44" ht="15" customHeight="1" x14ac:dyDescent="0.25">
      <c r="B3" s="1604" t="str">
        <f ca="1">MID(CELL("filename",A1),FIND("]",CELL("filename",A1))+1,256)</f>
        <v>C-1 On-Site WaterC' Baseline</v>
      </c>
      <c r="C3" s="1605"/>
      <c r="D3" s="1606"/>
      <c r="F3" s="1505" t="s">
        <v>263</v>
      </c>
      <c r="G3" s="1506"/>
      <c r="H3" s="1506"/>
      <c r="I3" s="1501">
        <f>'Headline Results'!H49</f>
        <v>0</v>
      </c>
      <c r="J3" s="1502"/>
      <c r="L3" s="1518"/>
      <c r="M3" s="1518"/>
      <c r="N3" s="1518"/>
      <c r="O3" s="1518"/>
      <c r="P3" s="1518"/>
      <c r="Q3" s="1518"/>
      <c r="R3" s="1518"/>
    </row>
    <row r="4" spans="2:44" ht="19.95" customHeight="1" thickBot="1" x14ac:dyDescent="0.3">
      <c r="B4" s="1515"/>
      <c r="C4" s="1516"/>
      <c r="D4" s="1517"/>
      <c r="F4" s="1583" t="s">
        <v>265</v>
      </c>
      <c r="G4" s="1584"/>
      <c r="H4" s="1584"/>
      <c r="I4" s="1577">
        <f>'Headline Results'!H53</f>
        <v>0</v>
      </c>
      <c r="J4" s="1578"/>
      <c r="L4" s="1518"/>
      <c r="M4" s="1518"/>
      <c r="N4" s="1518"/>
      <c r="O4" s="1518"/>
      <c r="P4" s="1518"/>
      <c r="Q4" s="1518"/>
      <c r="R4" s="1518"/>
    </row>
    <row r="5" spans="2:44" ht="19.2" customHeight="1" thickBot="1" x14ac:dyDescent="0.3">
      <c r="B5" s="30"/>
      <c r="C5" s="30"/>
      <c r="F5" s="1582" t="s">
        <v>267</v>
      </c>
      <c r="G5" s="1579"/>
      <c r="H5" s="1579"/>
      <c r="I5" s="1579" t="str" cm="1">
        <f t="array" ref="I5">IF(OR('Trading Summary WaterC''s'!G5:H8="No ▲"), "No - check trading summary ▲", "Yes ✓")</f>
        <v>Yes ✓</v>
      </c>
      <c r="J5" s="1580"/>
      <c r="T5" s="1608" t="str">
        <f>IF(SUM(AH10:AH257)&gt;0,"Check Lengths ⚠","")</f>
        <v/>
      </c>
      <c r="U5" s="1608"/>
      <c r="V5" s="1608"/>
      <c r="W5" s="1608"/>
      <c r="X5" s="1608"/>
      <c r="Y5" s="1608"/>
      <c r="Z5" s="669"/>
    </row>
    <row r="6" spans="2:44" ht="15.75" customHeight="1" x14ac:dyDescent="0.25">
      <c r="B6" s="30"/>
      <c r="C6" s="30"/>
      <c r="T6" s="1608"/>
      <c r="U6" s="1608"/>
      <c r="V6" s="1608"/>
      <c r="W6" s="1608"/>
      <c r="X6" s="1608"/>
      <c r="Y6" s="1608"/>
      <c r="Z6" s="669"/>
    </row>
    <row r="7" spans="2:44" ht="46.2" customHeight="1" thickBot="1" x14ac:dyDescent="0.3"/>
    <row r="8" spans="2:44" ht="28.2" thickBot="1" x14ac:dyDescent="0.3">
      <c r="C8" s="1536" t="s">
        <v>405</v>
      </c>
      <c r="D8" s="1536"/>
      <c r="E8" s="1536"/>
      <c r="F8" s="1552" t="s">
        <v>269</v>
      </c>
      <c r="G8" s="1552"/>
      <c r="H8" s="1552" t="s">
        <v>357</v>
      </c>
      <c r="I8" s="1552"/>
      <c r="J8" s="1536" t="s">
        <v>271</v>
      </c>
      <c r="K8" s="1536"/>
      <c r="L8" s="1536"/>
      <c r="M8" s="1552" t="s">
        <v>406</v>
      </c>
      <c r="N8" s="1552"/>
      <c r="O8" s="1552" t="s">
        <v>407</v>
      </c>
      <c r="P8" s="1552"/>
      <c r="Q8" s="1534" t="s">
        <v>272</v>
      </c>
      <c r="R8" s="134" t="s">
        <v>273</v>
      </c>
      <c r="S8" s="103"/>
      <c r="T8" s="1536" t="s">
        <v>274</v>
      </c>
      <c r="U8" s="1536"/>
      <c r="V8" s="1536"/>
      <c r="W8" s="1536"/>
      <c r="X8" s="1536"/>
      <c r="Y8" s="1536"/>
      <c r="Z8" s="1537" t="s">
        <v>275</v>
      </c>
      <c r="AA8" s="1548" t="s">
        <v>276</v>
      </c>
      <c r="AB8" s="1548"/>
      <c r="AD8" s="37" t="s">
        <v>266</v>
      </c>
      <c r="AE8" s="37" t="s">
        <v>266</v>
      </c>
    </row>
    <row r="9" spans="2:44" ht="52.5" customHeight="1" thickBot="1" x14ac:dyDescent="0.3">
      <c r="C9" s="132" t="s">
        <v>339</v>
      </c>
      <c r="D9" s="811" t="s">
        <v>193</v>
      </c>
      <c r="E9" s="752" t="s">
        <v>34</v>
      </c>
      <c r="F9" s="132" t="s">
        <v>269</v>
      </c>
      <c r="G9" s="752" t="s">
        <v>286</v>
      </c>
      <c r="H9" s="132" t="s">
        <v>270</v>
      </c>
      <c r="I9" s="752" t="s">
        <v>286</v>
      </c>
      <c r="J9" s="132" t="s">
        <v>271</v>
      </c>
      <c r="K9" s="811" t="s">
        <v>271</v>
      </c>
      <c r="L9" s="752" t="s">
        <v>408</v>
      </c>
      <c r="M9" s="132" t="s">
        <v>409</v>
      </c>
      <c r="N9" s="752" t="s">
        <v>410</v>
      </c>
      <c r="O9" s="132" t="s">
        <v>411</v>
      </c>
      <c r="P9" s="752" t="s">
        <v>410</v>
      </c>
      <c r="Q9" s="1534"/>
      <c r="R9" s="750" t="s">
        <v>412</v>
      </c>
      <c r="S9" s="107"/>
      <c r="T9" s="132" t="s">
        <v>384</v>
      </c>
      <c r="U9" s="811" t="s">
        <v>385</v>
      </c>
      <c r="V9" s="811" t="s">
        <v>386</v>
      </c>
      <c r="W9" s="811" t="s">
        <v>387</v>
      </c>
      <c r="X9" s="811" t="s">
        <v>413</v>
      </c>
      <c r="Y9" s="752" t="s">
        <v>414</v>
      </c>
      <c r="Z9" s="1570"/>
      <c r="AA9" s="719" t="s">
        <v>415</v>
      </c>
      <c r="AB9" s="719" t="s">
        <v>296</v>
      </c>
      <c r="AC9" s="48" t="s">
        <v>297</v>
      </c>
      <c r="AD9" s="50" t="s">
        <v>298</v>
      </c>
      <c r="AE9" s="50" t="s">
        <v>299</v>
      </c>
      <c r="AH9" s="33" t="s">
        <v>416</v>
      </c>
      <c r="AI9" s="124" t="s">
        <v>300</v>
      </c>
      <c r="AJ9" s="124" t="s">
        <v>301</v>
      </c>
      <c r="AL9" s="124" t="s">
        <v>303</v>
      </c>
      <c r="AN9" s="124" t="s">
        <v>300</v>
      </c>
      <c r="AO9" s="124" t="s">
        <v>301</v>
      </c>
      <c r="AQ9" s="101" t="s">
        <v>280</v>
      </c>
      <c r="AR9" s="101" t="s">
        <v>417</v>
      </c>
    </row>
    <row r="10" spans="2:44" ht="13.8" x14ac:dyDescent="0.25">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3.8" x14ac:dyDescent="0.25">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3.8" x14ac:dyDescent="0.25">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3.8" x14ac:dyDescent="0.25">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3.8" x14ac:dyDescent="0.25">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3.8" x14ac:dyDescent="0.25">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3.8" x14ac:dyDescent="0.25">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3.8" x14ac:dyDescent="0.25">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3.8" x14ac:dyDescent="0.25">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3.8" x14ac:dyDescent="0.25">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3.8" x14ac:dyDescent="0.25">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3.8" x14ac:dyDescent="0.25">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3.8" x14ac:dyDescent="0.25">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3.8" x14ac:dyDescent="0.25">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3.8" x14ac:dyDescent="0.25">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3.8" x14ac:dyDescent="0.25">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3.8" x14ac:dyDescent="0.25">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3.8" x14ac:dyDescent="0.25">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3.8" x14ac:dyDescent="0.25">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3.8" x14ac:dyDescent="0.25">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3.8" x14ac:dyDescent="0.25">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3.8" x14ac:dyDescent="0.25">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3.8" x14ac:dyDescent="0.25">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3.8" x14ac:dyDescent="0.25">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3.8" x14ac:dyDescent="0.25">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3.8" x14ac:dyDescent="0.25">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3.8" x14ac:dyDescent="0.25">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3.8" x14ac:dyDescent="0.25">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3.8" x14ac:dyDescent="0.25">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3.8" x14ac:dyDescent="0.25">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3.8" x14ac:dyDescent="0.25">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3.8" x14ac:dyDescent="0.25">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3.8" x14ac:dyDescent="0.25">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3.8" x14ac:dyDescent="0.25">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3.8" x14ac:dyDescent="0.25">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3.8" x14ac:dyDescent="0.25">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3.8" x14ac:dyDescent="0.25">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3.8" x14ac:dyDescent="0.25">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3.8" x14ac:dyDescent="0.25">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3.8" x14ac:dyDescent="0.25">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3.8" x14ac:dyDescent="0.25">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3.8" x14ac:dyDescent="0.25">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3.8" x14ac:dyDescent="0.25">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3.8" x14ac:dyDescent="0.25">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3.8" x14ac:dyDescent="0.25">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3.8" x14ac:dyDescent="0.25">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3.8" x14ac:dyDescent="0.25">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3.8" x14ac:dyDescent="0.25">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3.8" x14ac:dyDescent="0.25">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3.8" x14ac:dyDescent="0.25">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3.8" x14ac:dyDescent="0.25">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3.8" x14ac:dyDescent="0.25">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3.8" x14ac:dyDescent="0.25">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3.8" x14ac:dyDescent="0.25">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3.8" x14ac:dyDescent="0.25">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3.8" x14ac:dyDescent="0.25">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3.8" x14ac:dyDescent="0.25">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3.8" x14ac:dyDescent="0.25">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3.8" x14ac:dyDescent="0.25">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3.8" x14ac:dyDescent="0.25">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3.8" x14ac:dyDescent="0.25">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3.8" x14ac:dyDescent="0.25">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3.8" x14ac:dyDescent="0.25">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3.8" x14ac:dyDescent="0.25">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3.8" x14ac:dyDescent="0.25">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3.8" x14ac:dyDescent="0.25">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3.8" x14ac:dyDescent="0.25">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3.8" x14ac:dyDescent="0.25">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3.8" x14ac:dyDescent="0.25">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3.8" x14ac:dyDescent="0.25">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3.8" x14ac:dyDescent="0.25">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3.8" x14ac:dyDescent="0.25">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3.8" x14ac:dyDescent="0.25">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3.8" x14ac:dyDescent="0.25">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3.8" x14ac:dyDescent="0.25">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3.8" x14ac:dyDescent="0.25">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3.8" x14ac:dyDescent="0.25">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3.8" x14ac:dyDescent="0.25">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3.8" x14ac:dyDescent="0.25">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3.8" x14ac:dyDescent="0.25">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3.8" x14ac:dyDescent="0.25">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3.8" x14ac:dyDescent="0.25">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3.8" x14ac:dyDescent="0.25">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3.8" x14ac:dyDescent="0.25">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3.8" x14ac:dyDescent="0.25">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3.8" x14ac:dyDescent="0.25">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3.8" x14ac:dyDescent="0.25">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3.8" x14ac:dyDescent="0.25">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3.8" x14ac:dyDescent="0.25">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3.8" x14ac:dyDescent="0.25">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3.8" x14ac:dyDescent="0.25">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3.8" x14ac:dyDescent="0.25">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3.8" x14ac:dyDescent="0.25">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3.8" x14ac:dyDescent="0.25">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3.8" x14ac:dyDescent="0.25">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3.8" x14ac:dyDescent="0.25">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3.8" x14ac:dyDescent="0.25">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3.8" x14ac:dyDescent="0.25">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3.8" x14ac:dyDescent="0.25">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3.8" x14ac:dyDescent="0.25">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3.8" x14ac:dyDescent="0.25">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3.8" x14ac:dyDescent="0.25">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3.8" x14ac:dyDescent="0.25">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3.8" x14ac:dyDescent="0.25">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3.8" x14ac:dyDescent="0.25">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3.8" x14ac:dyDescent="0.25">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3.8" x14ac:dyDescent="0.25">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3.8" x14ac:dyDescent="0.25">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3.8" x14ac:dyDescent="0.25">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3.8" x14ac:dyDescent="0.25">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3.8" x14ac:dyDescent="0.25">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3.8" x14ac:dyDescent="0.25">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3.8" x14ac:dyDescent="0.25">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3.8" x14ac:dyDescent="0.25">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3.8" x14ac:dyDescent="0.25">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3.8" x14ac:dyDescent="0.25">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3.8" x14ac:dyDescent="0.25">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3.8" x14ac:dyDescent="0.25">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3.8" x14ac:dyDescent="0.25">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3.8" x14ac:dyDescent="0.25">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3.8" x14ac:dyDescent="0.25">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3.8" x14ac:dyDescent="0.25">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3.8" x14ac:dyDescent="0.25">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3.8" x14ac:dyDescent="0.25">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3.8" x14ac:dyDescent="0.25">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3.8" x14ac:dyDescent="0.25">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3.8" x14ac:dyDescent="0.25">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3.8" x14ac:dyDescent="0.25">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3.8" x14ac:dyDescent="0.25">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3.8" x14ac:dyDescent="0.25">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3.8" x14ac:dyDescent="0.25">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3.8" x14ac:dyDescent="0.25">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3.8" x14ac:dyDescent="0.25">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3.8" x14ac:dyDescent="0.25">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3.8" x14ac:dyDescent="0.25">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3.8" x14ac:dyDescent="0.25">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3.8" x14ac:dyDescent="0.25">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3.8" x14ac:dyDescent="0.25">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3.8" x14ac:dyDescent="0.25">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3.8" x14ac:dyDescent="0.25">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3.8" x14ac:dyDescent="0.25">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3.8" x14ac:dyDescent="0.25">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3.8" x14ac:dyDescent="0.25">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3.8" x14ac:dyDescent="0.25">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3.8" x14ac:dyDescent="0.25">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3.8" x14ac:dyDescent="0.25">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3.8" x14ac:dyDescent="0.25">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3.8" x14ac:dyDescent="0.25">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3.8" x14ac:dyDescent="0.25">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3.8" x14ac:dyDescent="0.25">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3.8" x14ac:dyDescent="0.25">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3.8" x14ac:dyDescent="0.25">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3.8" x14ac:dyDescent="0.25">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3.8" x14ac:dyDescent="0.25">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3.8" x14ac:dyDescent="0.25">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3.8" x14ac:dyDescent="0.25">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3.8" x14ac:dyDescent="0.25">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3.8" x14ac:dyDescent="0.25">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3.8" x14ac:dyDescent="0.25">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3.8" x14ac:dyDescent="0.25">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3.8" x14ac:dyDescent="0.25">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3.8" x14ac:dyDescent="0.25">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3.8" x14ac:dyDescent="0.25">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3.8" x14ac:dyDescent="0.25">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3.8" x14ac:dyDescent="0.25">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3.8" x14ac:dyDescent="0.25">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3.8" x14ac:dyDescent="0.25">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3.8" x14ac:dyDescent="0.25">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3.8" x14ac:dyDescent="0.25">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3.8" x14ac:dyDescent="0.25">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3.8" x14ac:dyDescent="0.25">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3.8" x14ac:dyDescent="0.25">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3.8" x14ac:dyDescent="0.25">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3.8" x14ac:dyDescent="0.25">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3.8" x14ac:dyDescent="0.25">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3.8" x14ac:dyDescent="0.25">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3.8" x14ac:dyDescent="0.25">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3.8" x14ac:dyDescent="0.25">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3.8" x14ac:dyDescent="0.25">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3.8" x14ac:dyDescent="0.25">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3.8" x14ac:dyDescent="0.25">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3.8" x14ac:dyDescent="0.25">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3.8" x14ac:dyDescent="0.25">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3.8" x14ac:dyDescent="0.25">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3.8" x14ac:dyDescent="0.25">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3.8" x14ac:dyDescent="0.25">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3.8" x14ac:dyDescent="0.25">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3.8" x14ac:dyDescent="0.25">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3.8" x14ac:dyDescent="0.25">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3.8" x14ac:dyDescent="0.25">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3.8" x14ac:dyDescent="0.25">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3.8" x14ac:dyDescent="0.25">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3.8" x14ac:dyDescent="0.25">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3.8" x14ac:dyDescent="0.25">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3.8" x14ac:dyDescent="0.25">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3.8" x14ac:dyDescent="0.25">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3.8" x14ac:dyDescent="0.25">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3.8" x14ac:dyDescent="0.25">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3.8" x14ac:dyDescent="0.25">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3.8" x14ac:dyDescent="0.25">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3.8" x14ac:dyDescent="0.25">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3.8" x14ac:dyDescent="0.25">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3.8" x14ac:dyDescent="0.25">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3.8" x14ac:dyDescent="0.25">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3.8" x14ac:dyDescent="0.25">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3.8" x14ac:dyDescent="0.25">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3.8" x14ac:dyDescent="0.25">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3.8" x14ac:dyDescent="0.25">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3.8" x14ac:dyDescent="0.25">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3.8" x14ac:dyDescent="0.25">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3.8" x14ac:dyDescent="0.25">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3.8" x14ac:dyDescent="0.25">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3.8" x14ac:dyDescent="0.25">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3.8" x14ac:dyDescent="0.25">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3.8" x14ac:dyDescent="0.25">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3.8" x14ac:dyDescent="0.25">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3.8" x14ac:dyDescent="0.25">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3.8" x14ac:dyDescent="0.25">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3.8" x14ac:dyDescent="0.25">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3.8" x14ac:dyDescent="0.25">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3.8" x14ac:dyDescent="0.25">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3.8" x14ac:dyDescent="0.25">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3.8" x14ac:dyDescent="0.25">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3.8" x14ac:dyDescent="0.25">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3.8" x14ac:dyDescent="0.25">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3.8" x14ac:dyDescent="0.25">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3.8" x14ac:dyDescent="0.25">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3.8" x14ac:dyDescent="0.25">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3.8" x14ac:dyDescent="0.25">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3.8" x14ac:dyDescent="0.25">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3.8" x14ac:dyDescent="0.25">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3.8" x14ac:dyDescent="0.25">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3.8" x14ac:dyDescent="0.25">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3.8" x14ac:dyDescent="0.25">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3.8" x14ac:dyDescent="0.25">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3.8" x14ac:dyDescent="0.25">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3.8" x14ac:dyDescent="0.25">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3.8" x14ac:dyDescent="0.25">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3.8" x14ac:dyDescent="0.25">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3.8" x14ac:dyDescent="0.25">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3.8" x14ac:dyDescent="0.25">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3.8" x14ac:dyDescent="0.25">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3.8" x14ac:dyDescent="0.25">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3.8" x14ac:dyDescent="0.25">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3.8" x14ac:dyDescent="0.25">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3.8" x14ac:dyDescent="0.25">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3.8" x14ac:dyDescent="0.25">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 thickBot="1" x14ac:dyDescent="0.3">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5" customHeight="1" thickBot="1" x14ac:dyDescent="0.3">
      <c r="B258" s="30"/>
      <c r="C258" s="34"/>
      <c r="D258" s="328"/>
      <c r="E258" s="421">
        <f>IF('Detailed Results'!K164&gt;0,"Error ▲",SUM(E10:E257))</f>
        <v>0</v>
      </c>
      <c r="F258" s="34"/>
      <c r="G258" s="34"/>
      <c r="H258" s="34"/>
      <c r="I258" s="34"/>
      <c r="J258" s="34"/>
      <c r="K258" s="34"/>
      <c r="L258" s="34"/>
      <c r="M258" s="34"/>
      <c r="N258" s="34"/>
      <c r="O258" s="34"/>
      <c r="P258" s="1529"/>
      <c r="Q258" s="1609"/>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3.8" x14ac:dyDescent="0.25">
      <c r="B259" s="30"/>
      <c r="C259" s="30"/>
      <c r="S259" s="133"/>
      <c r="T259" s="133"/>
      <c r="U259" s="133"/>
      <c r="V259" s="133"/>
      <c r="W259" s="133"/>
      <c r="X259" s="133"/>
      <c r="Y259" s="133"/>
      <c r="Z259" s="133"/>
    </row>
    <row r="260" spans="2:44" ht="13.8" x14ac:dyDescent="0.25"/>
    <row r="261" spans="2:44" ht="13.8" x14ac:dyDescent="0.25"/>
    <row r="262" spans="2:44" ht="13.8" x14ac:dyDescent="0.25"/>
    <row r="263" spans="2:44" ht="13.8" x14ac:dyDescent="0.25"/>
    <row r="264" spans="2:44" ht="13.8" x14ac:dyDescent="0.25"/>
    <row r="265" spans="2:44" ht="13.8" x14ac:dyDescent="0.25"/>
    <row r="266" spans="2:44" ht="13.8" x14ac:dyDescent="0.25"/>
    <row r="267" spans="2:44" ht="13.8" x14ac:dyDescent="0.25"/>
    <row r="268" spans="2:44" ht="13.8" x14ac:dyDescent="0.25"/>
    <row r="269" spans="2:44" ht="13.8" x14ac:dyDescent="0.25"/>
    <row r="270" spans="2:44" ht="13.8" x14ac:dyDescent="0.25"/>
    <row r="271" spans="2:44" ht="13.8" x14ac:dyDescent="0.25"/>
    <row r="272" spans="2:44" ht="13.8" x14ac:dyDescent="0.25"/>
  </sheetData>
  <sheetProtection algorithmName="SHA-512" hashValue="K1FHhDTFpDVgNY45m565V1fXKbRUyepO6TYla/NRO3YF1QOhtQaKPI9aWI2l1CWtYY1Qw8B7Y5bIPsc3gWH6lA==" saltValue="mhAnhMPXWoskN4uAdk5si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L2:R4"/>
    <mergeCell ref="T5:Y6"/>
    <mergeCell ref="P258:Q258"/>
    <mergeCell ref="AA8:AB8"/>
    <mergeCell ref="J8:L8"/>
    <mergeCell ref="M8:N8"/>
    <mergeCell ref="O8:P8"/>
    <mergeCell ref="Q8:Q9"/>
    <mergeCell ref="T8:Y8"/>
    <mergeCell ref="Z8:Z9"/>
    <mergeCell ref="B2:D2"/>
    <mergeCell ref="B3:D4"/>
    <mergeCell ref="C8:E8"/>
    <mergeCell ref="F8:G8"/>
    <mergeCell ref="H8:I8"/>
    <mergeCell ref="F3:H3"/>
    <mergeCell ref="F4:H4"/>
    <mergeCell ref="I3:J3"/>
    <mergeCell ref="I4:J4"/>
    <mergeCell ref="F2:J2"/>
    <mergeCell ref="F5:H5"/>
    <mergeCell ref="I5:J5"/>
  </mergeCells>
  <conditionalFormatting sqref="E258">
    <cfRule type="containsText" dxfId="171" priority="21" operator="containsText" text="▲">
      <formula>NOT(ISERROR(SEARCH("▲",E258)))</formula>
    </cfRule>
  </conditionalFormatting>
  <conditionalFormatting sqref="I3:I4">
    <cfRule type="containsText" dxfId="170" priority="32" operator="containsText" text="Error">
      <formula>NOT(ISERROR(SEARCH("Error",I3)))</formula>
    </cfRule>
    <cfRule type="containsText" dxfId="169" priority="33" operator="containsText" text="Check">
      <formula>NOT(ISERROR(SEARCH("Check",I3)))</formula>
    </cfRule>
  </conditionalFormatting>
  <conditionalFormatting sqref="I5">
    <cfRule type="containsText" dxfId="168" priority="39" operator="containsText" text="Yes">
      <formula>NOT(ISERROR(SEARCH("Yes",I5)))</formula>
    </cfRule>
    <cfRule type="containsText" dxfId="167" priority="38" operator="containsText" text="No">
      <formula>NOT(ISERROR(SEARCH("No",I5)))</formula>
    </cfRule>
  </conditionalFormatting>
  <conditionalFormatting sqref="I10:I257">
    <cfRule type="containsText" dxfId="166" priority="37" operator="containsText" text="Not possible">
      <formula>NOT(ISERROR(SEARCH("Not possible",I10)))</formula>
    </cfRule>
  </conditionalFormatting>
  <conditionalFormatting sqref="I3:J5">
    <cfRule type="containsText" dxfId="165" priority="1" operator="containsText" text="N/A">
      <formula>NOT(ISERROR(SEARCH("N/A",I3)))</formula>
    </cfRule>
  </conditionalFormatting>
  <conditionalFormatting sqref="I4:J4">
    <cfRule type="cellIs" dxfId="164" priority="31" operator="equal">
      <formula>0</formula>
    </cfRule>
    <cfRule type="cellIs" dxfId="163" priority="34" operator="lessThan">
      <formula>0</formula>
    </cfRule>
    <cfRule type="cellIs" dxfId="162" priority="42" operator="greaterThanOrEqual">
      <formula>0.1</formula>
    </cfRule>
  </conditionalFormatting>
  <conditionalFormatting sqref="K10:L257">
    <cfRule type="containsText" dxfId="160" priority="60" operator="containsText" text="Spatial">
      <formula>NOT(ISERROR(SEARCH("Spatial",K10)))</formula>
    </cfRule>
  </conditionalFormatting>
  <conditionalFormatting sqref="L2:R4">
    <cfRule type="containsText" dxfId="159" priority="40" operator="containsText" text="Check">
      <formula>NOT(ISERROR(SEARCH("Check",L2)))</formula>
    </cfRule>
  </conditionalFormatting>
  <conditionalFormatting sqref="P10:P257">
    <cfRule type="containsText" dxfId="158" priority="59" operator="containsText" text="Spatial">
      <formula>NOT(ISERROR(SEARCH("Spatial",P10)))</formula>
    </cfRule>
  </conditionalFormatting>
  <conditionalFormatting sqref="Q10:Q257">
    <cfRule type="containsText" dxfId="157" priority="26" operator="containsText" text="Bespoke">
      <formula>NOT(ISERROR(SEARCH("Bespoke",Q10)))</formula>
    </cfRule>
    <cfRule type="containsText" dxfId="156" priority="65" operator="containsText" text="Restore">
      <formula>NOT(ISERROR(SEARCH("Restore",Q10)))</formula>
    </cfRule>
  </conditionalFormatting>
  <conditionalFormatting sqref="R10:R257">
    <cfRule type="containsText" dxfId="155" priority="25" operator="containsText" text="⚠">
      <formula>NOT(ISERROR(SEARCH("⚠",R10)))</formula>
    </cfRule>
  </conditionalFormatting>
  <conditionalFormatting sqref="R258">
    <cfRule type="containsText" dxfId="154" priority="22" operator="containsText" text="▲">
      <formula>NOT(ISERROR(SEARCH("▲",R258)))</formula>
    </cfRule>
  </conditionalFormatting>
  <conditionalFormatting sqref="T258:Y258">
    <cfRule type="containsText" dxfId="153" priority="23" operator="containsText" text="▲">
      <formula>NOT(ISERROR(SEARCH("▲",T258)))</formula>
    </cfRule>
  </conditionalFormatting>
  <conditionalFormatting sqref="T5:Z6">
    <cfRule type="containsText" dxfId="152" priority="47" operator="containsText" text="Check">
      <formula>NOT(ISERROR(SEARCH("Check",T5)))</formula>
    </cfRule>
  </conditionalFormatting>
  <conditionalFormatting sqref="V10:V257">
    <cfRule type="containsText" dxfId="151" priority="35" operator="containsText" text="Error">
      <formula>NOT(ISERROR(SEARCH("Error",V10)))</formula>
    </cfRule>
  </conditionalFormatting>
  <conditionalFormatting sqref="V258:W258">
    <cfRule type="containsText" dxfId="150" priority="36" operator="containsText" text="Error">
      <formula>NOT(ISERROR(SEARCH("Error",V258)))</formula>
    </cfRule>
  </conditionalFormatting>
  <conditionalFormatting sqref="X10:X257">
    <cfRule type="containsText" dxfId="149" priority="24" operator="containsText" text="⚠">
      <formula>NOT(ISERROR(SEARCH("⚠",X10)))</formula>
    </cfRule>
  </conditionalFormatting>
  <conditionalFormatting sqref="X10:Z257">
    <cfRule type="containsText" dxfId="148" priority="57" operator="containsText" text="Error">
      <formula>NOT(ISERROR(SEARCH("Error",X10)))</formula>
    </cfRule>
  </conditionalFormatting>
  <conditionalFormatting sqref="Y10:Y257">
    <cfRule type="containsText" dxfId="147" priority="27" operator="containsText" text="▲">
      <formula>NOT(ISERROR(SEARCH("▲",Y10)))</formula>
    </cfRule>
    <cfRule type="containsText" dxfId="146" priority="28" operator="containsText" text="✓">
      <formula>NOT(ISERROR(SEARCH("✓",Y10)))</formula>
    </cfRule>
  </conditionalFormatting>
  <conditionalFormatting sqref="Y10:Z257">
    <cfRule type="containsText" dxfId="145" priority="56" operator="containsText" text="Check">
      <formula>NOT(ISERROR(SEARCH("Check",Y10)))</formula>
    </cfRule>
  </conditionalFormatting>
  <conditionalFormatting sqref="Z1:Z1048576">
    <cfRule type="containsText" dxfId="144" priority="30" operator="containsText" text="No">
      <formula>NOT(ISERROR(SEARCH("No",Z1)))</formula>
    </cfRule>
    <cfRule type="containsText" dxfId="143" priority="29" operator="containsText" text="Yes">
      <formula>NOT(ISERROR(SEARCH("Yes",Z1)))</formula>
    </cfRule>
  </conditionalFormatting>
  <conditionalFormatting sqref="AD10:AD257">
    <cfRule type="cellIs" dxfId="142" priority="2" operator="equal">
      <formula>0</formula>
    </cfRule>
  </conditionalFormatting>
  <conditionalFormatting sqref="AD10:AE257">
    <cfRule type="cellIs" dxfId="141" priority="3" operator="equal">
      <formula>"None"</formula>
    </cfRule>
    <cfRule type="cellIs" dxfId="140" priority="4" operator="equal">
      <formula>""</formula>
    </cfRule>
    <cfRule type="cellIs" dxfId="139" priority="7"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70"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activeCell="A2" sqref="A2"/>
    </sheetView>
  </sheetViews>
  <sheetFormatPr defaultColWidth="0" defaultRowHeight="0" customHeight="1" zeroHeight="1" x14ac:dyDescent="0.25"/>
  <cols>
    <col min="1" max="1" width="2.77734375" style="30" customWidth="1"/>
    <col min="2" max="2" width="10.77734375" style="30" customWidth="1"/>
    <col min="3" max="3" width="41" style="30" customWidth="1"/>
    <col min="4" max="4" width="10" style="30" customWidth="1"/>
    <col min="5" max="5" width="18.21875" style="30" customWidth="1"/>
    <col min="6" max="6" width="13.21875" style="30" customWidth="1"/>
    <col min="7" max="7" width="12.5546875" style="30" bestFit="1" customWidth="1"/>
    <col min="8" max="8" width="12.5546875" style="30" customWidth="1"/>
    <col min="9" max="9" width="33.77734375" style="30" customWidth="1"/>
    <col min="10" max="10" width="22.21875" style="30" customWidth="1"/>
    <col min="11" max="11" width="12.21875" style="30" customWidth="1"/>
    <col min="12" max="12" width="20.77734375" style="30" customWidth="1"/>
    <col min="13" max="14" width="17.77734375" style="30" customWidth="1"/>
    <col min="15" max="15" width="23.5546875" style="30" customWidth="1"/>
    <col min="16" max="16" width="20.44140625" style="30" customWidth="1"/>
    <col min="17" max="17" width="15.21875" style="30" customWidth="1"/>
    <col min="18" max="18" width="15" style="30" customWidth="1"/>
    <col min="19" max="19" width="21.77734375" style="30" customWidth="1"/>
    <col min="20" max="20" width="15.5546875" style="30" customWidth="1"/>
    <col min="21" max="21" width="13.77734375" style="30" customWidth="1"/>
    <col min="22" max="22" width="17.77734375" style="30" customWidth="1"/>
    <col min="23" max="23" width="13.21875" style="30" customWidth="1"/>
    <col min="24" max="24" width="21.21875" style="30" customWidth="1"/>
    <col min="25" max="25" width="13.21875" style="30" customWidth="1"/>
    <col min="26" max="26" width="17.21875" style="30" customWidth="1"/>
    <col min="27" max="28" width="34.77734375" style="30" customWidth="1"/>
    <col min="29" max="29" width="14.21875" style="30" customWidth="1"/>
    <col min="30" max="32" width="8.77734375" style="30" customWidth="1"/>
    <col min="33" max="33" width="8.77734375" style="30" hidden="1" customWidth="1"/>
    <col min="34" max="34" width="10.77734375" style="30" hidden="1" customWidth="1"/>
    <col min="35" max="16384" width="8.77734375" style="30" hidden="1"/>
  </cols>
  <sheetData>
    <row r="1" spans="2:34" ht="14.4" hidden="1" thickBot="1" x14ac:dyDescent="0.3"/>
    <row r="2" spans="2:34" ht="24.6" customHeight="1" thickBot="1" x14ac:dyDescent="0.35">
      <c r="B2" s="1600" t="str">
        <f>CONCATENATE("Project Name:", " ", Start!F12, "     ", "Map Reference:", " ", Start!K55)</f>
        <v xml:space="preserve">Project Name: Broadfield Park Slopes (‘The Slopes’), The Esplanade, Rochdale, OL16 1AQ     Map Reference: </v>
      </c>
      <c r="C2" s="1603"/>
      <c r="D2" s="1603"/>
      <c r="E2" s="1601"/>
      <c r="J2" s="309"/>
      <c r="K2" s="309"/>
      <c r="V2" s="1463" t="str">
        <f>IF(OR(COUNTIF(L$12:$L260,"*30+*")&gt;0,COUNTIF(P$12:$P260,"*30+*")&gt;0),"Note; Habitat selected has a time to target condition greater than 30 years. Non standard agreement may be required. ⚠","")</f>
        <v/>
      </c>
      <c r="W2" s="1463"/>
      <c r="X2" s="1463"/>
      <c r="Y2" s="1463"/>
      <c r="Z2" s="1463"/>
      <c r="AA2" s="1463"/>
    </row>
    <row r="3" spans="2:34" ht="15.6" customHeight="1" thickBot="1" x14ac:dyDescent="0.35">
      <c r="B3" s="1610" t="str">
        <f ca="1">MID(CELL("filename",A1),FIND("]",CELL("filename",A1))+1,256)</f>
        <v>C-2 On-Site WaterC' Creation</v>
      </c>
      <c r="C3" s="1611"/>
      <c r="D3" s="1611"/>
      <c r="E3" s="1612"/>
      <c r="I3" s="1404" t="s">
        <v>404</v>
      </c>
      <c r="J3" s="1405"/>
      <c r="K3" s="1405"/>
      <c r="L3" s="1405"/>
      <c r="M3" s="1405"/>
      <c r="N3" s="1405"/>
      <c r="O3" s="1406"/>
      <c r="Q3" s="312"/>
      <c r="R3" s="312"/>
      <c r="S3" s="312"/>
      <c r="V3" s="1463"/>
      <c r="W3" s="1463"/>
      <c r="X3" s="1463"/>
      <c r="Y3" s="1463"/>
      <c r="Z3" s="1463"/>
      <c r="AA3" s="1463"/>
    </row>
    <row r="4" spans="2:34" ht="15" customHeight="1" thickBot="1" x14ac:dyDescent="0.3">
      <c r="B4" s="1610"/>
      <c r="C4" s="1611"/>
      <c r="D4" s="1611"/>
      <c r="E4" s="1612"/>
      <c r="I4" s="1505" t="s">
        <v>263</v>
      </c>
      <c r="J4" s="1506"/>
      <c r="K4" s="1506"/>
      <c r="L4" s="1506"/>
      <c r="M4" s="1501">
        <f>'Headline Results'!H49</f>
        <v>0</v>
      </c>
      <c r="N4" s="1501"/>
      <c r="O4" s="1502"/>
      <c r="Q4" s="312"/>
      <c r="R4" s="312"/>
      <c r="S4" s="312"/>
      <c r="V4" s="1463"/>
      <c r="W4" s="1463"/>
      <c r="X4" s="1463"/>
      <c r="Y4" s="1463"/>
      <c r="Z4" s="1463"/>
      <c r="AA4" s="1463"/>
    </row>
    <row r="5" spans="2:34" ht="26.55" customHeight="1" x14ac:dyDescent="0.25">
      <c r="I5" s="1583" t="s">
        <v>265</v>
      </c>
      <c r="J5" s="1584"/>
      <c r="K5" s="1584"/>
      <c r="L5" s="1584"/>
      <c r="M5" s="1577">
        <f>'Headline Results'!H53</f>
        <v>0</v>
      </c>
      <c r="N5" s="1577"/>
      <c r="O5" s="1578"/>
      <c r="Q5" s="312"/>
      <c r="R5" s="312"/>
      <c r="S5" s="312"/>
      <c r="V5" s="1613" t="str" cm="1">
        <f t="array" ref="V5">IF(OR(G12:G259 = "Fairly Good", G12:G259 = "Fairly Poor"),"A 'Fairly' Category has been used - check evidence to ensure this is appropriate ⚠", "")</f>
        <v/>
      </c>
      <c r="W5" s="1613"/>
      <c r="X5" s="1613"/>
      <c r="Y5" s="1613"/>
      <c r="Z5" s="1613"/>
    </row>
    <row r="6" spans="2:34" ht="23.25" customHeight="1" thickBot="1" x14ac:dyDescent="0.3">
      <c r="I6" s="1582" t="s">
        <v>267</v>
      </c>
      <c r="J6" s="1579"/>
      <c r="K6" s="1579"/>
      <c r="L6" s="1579"/>
      <c r="M6" s="1579" t="str" cm="1">
        <f t="array" ref="M6">IF(OR('Trading Summary WaterC''s'!G5:H8="No ▲"), "No - check trading summary ▲", "Yes ✓")</f>
        <v>Yes ✓</v>
      </c>
      <c r="N6" s="1579"/>
      <c r="O6" s="1580"/>
      <c r="P6" s="312"/>
      <c r="Q6" s="312"/>
      <c r="R6" s="312"/>
      <c r="S6" s="312"/>
      <c r="V6" s="1613"/>
      <c r="W6" s="1613"/>
      <c r="X6" s="1613"/>
      <c r="Y6" s="1613"/>
      <c r="Z6" s="1613"/>
    </row>
    <row r="7" spans="2:34" ht="6" customHeight="1" x14ac:dyDescent="0.25">
      <c r="L7" s="312"/>
      <c r="M7" s="312"/>
      <c r="N7" s="312"/>
      <c r="O7" s="312"/>
      <c r="P7" s="312"/>
    </row>
    <row r="8" spans="2:34" ht="6" customHeight="1" x14ac:dyDescent="0.25"/>
    <row r="9" spans="2:34" ht="15.75" customHeight="1" thickBot="1" x14ac:dyDescent="0.3"/>
    <row r="10" spans="2:34" s="33" customFormat="1" ht="29.25" customHeight="1" thickBot="1" x14ac:dyDescent="0.3">
      <c r="B10" s="200"/>
      <c r="C10" s="1552" t="s">
        <v>389</v>
      </c>
      <c r="D10" s="1552"/>
      <c r="E10" s="1552" t="s">
        <v>269</v>
      </c>
      <c r="F10" s="1552"/>
      <c r="G10" s="1552" t="s">
        <v>357</v>
      </c>
      <c r="H10" s="1552"/>
      <c r="I10" s="1552" t="s">
        <v>271</v>
      </c>
      <c r="J10" s="1552"/>
      <c r="K10" s="1552"/>
      <c r="L10" s="1573" t="s">
        <v>314</v>
      </c>
      <c r="M10" s="1574"/>
      <c r="N10" s="1574"/>
      <c r="O10" s="1574"/>
      <c r="P10" s="1574"/>
      <c r="Q10" s="1575"/>
      <c r="R10" s="1573" t="s">
        <v>315</v>
      </c>
      <c r="S10" s="1574"/>
      <c r="T10" s="1574"/>
      <c r="U10" s="1575"/>
      <c r="V10" s="1552" t="s">
        <v>406</v>
      </c>
      <c r="W10" s="1552"/>
      <c r="X10" s="1552" t="s">
        <v>407</v>
      </c>
      <c r="Y10" s="1552"/>
      <c r="Z10" s="1534" t="s">
        <v>418</v>
      </c>
      <c r="AA10" s="1315" t="s">
        <v>276</v>
      </c>
      <c r="AB10" s="1313"/>
    </row>
    <row r="11" spans="2:34" s="33" customFormat="1" ht="62.1" customHeight="1" thickBot="1" x14ac:dyDescent="0.3">
      <c r="B11" s="719" t="s">
        <v>339</v>
      </c>
      <c r="C11" s="132" t="s">
        <v>193</v>
      </c>
      <c r="D11" s="752" t="s">
        <v>34</v>
      </c>
      <c r="E11" s="132" t="s">
        <v>269</v>
      </c>
      <c r="F11" s="752" t="s">
        <v>286</v>
      </c>
      <c r="G11" s="132" t="s">
        <v>270</v>
      </c>
      <c r="H11" s="752" t="s">
        <v>286</v>
      </c>
      <c r="I11" s="132" t="s">
        <v>271</v>
      </c>
      <c r="J11" s="811" t="s">
        <v>271</v>
      </c>
      <c r="K11" s="752" t="s">
        <v>317</v>
      </c>
      <c r="L11" s="132" t="s">
        <v>392</v>
      </c>
      <c r="M11" s="811" t="s">
        <v>319</v>
      </c>
      <c r="N11" s="811" t="s">
        <v>320</v>
      </c>
      <c r="O11" s="811" t="s">
        <v>321</v>
      </c>
      <c r="P11" s="811" t="s">
        <v>322</v>
      </c>
      <c r="Q11" s="752" t="s">
        <v>397</v>
      </c>
      <c r="R11" s="132" t="s">
        <v>324</v>
      </c>
      <c r="S11" s="811" t="s">
        <v>419</v>
      </c>
      <c r="T11" s="811" t="s">
        <v>326</v>
      </c>
      <c r="U11" s="752" t="s">
        <v>327</v>
      </c>
      <c r="V11" s="126" t="s">
        <v>409</v>
      </c>
      <c r="W11" s="861" t="s">
        <v>410</v>
      </c>
      <c r="X11" s="126" t="s">
        <v>411</v>
      </c>
      <c r="Y11" s="861" t="s">
        <v>410</v>
      </c>
      <c r="Z11" s="1534"/>
      <c r="AA11" s="126" t="s">
        <v>295</v>
      </c>
      <c r="AB11" s="861" t="s">
        <v>296</v>
      </c>
      <c r="AC11" s="48" t="s">
        <v>297</v>
      </c>
      <c r="AH11" s="210" t="s">
        <v>280</v>
      </c>
    </row>
    <row r="12" spans="2:34" ht="13.8" x14ac:dyDescent="0.25">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3.8" x14ac:dyDescent="0.25">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3.8" x14ac:dyDescent="0.25">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3.8" x14ac:dyDescent="0.25">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3.8" x14ac:dyDescent="0.25">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3.8" x14ac:dyDescent="0.25">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3.8" x14ac:dyDescent="0.25">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3.8" x14ac:dyDescent="0.25">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3.8" x14ac:dyDescent="0.25">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3.8" x14ac:dyDescent="0.25">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3.8" x14ac:dyDescent="0.25">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3.8" x14ac:dyDescent="0.25">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3.8" x14ac:dyDescent="0.25">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3.8" x14ac:dyDescent="0.25">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3.8" x14ac:dyDescent="0.25">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3.8" x14ac:dyDescent="0.25">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3.8" x14ac:dyDescent="0.25">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3.8" x14ac:dyDescent="0.25">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3.8" x14ac:dyDescent="0.25">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3.8" x14ac:dyDescent="0.25">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3.8" x14ac:dyDescent="0.25">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3.8" x14ac:dyDescent="0.25">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3.8" x14ac:dyDescent="0.25">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3.8" x14ac:dyDescent="0.25">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3.8" x14ac:dyDescent="0.25">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3.8" x14ac:dyDescent="0.25">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3.8" x14ac:dyDescent="0.25">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3.8" x14ac:dyDescent="0.25">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3.8" x14ac:dyDescent="0.25">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3.8" x14ac:dyDescent="0.25">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3.8" x14ac:dyDescent="0.25">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3.8" x14ac:dyDescent="0.25">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3.8" x14ac:dyDescent="0.25">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3.8" x14ac:dyDescent="0.25">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3.8" x14ac:dyDescent="0.25">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3.8" x14ac:dyDescent="0.25">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3.8" x14ac:dyDescent="0.25">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3.8" x14ac:dyDescent="0.25">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3.8" x14ac:dyDescent="0.25">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3.8" x14ac:dyDescent="0.25">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3.8" x14ac:dyDescent="0.25">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3.8" x14ac:dyDescent="0.25">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3.8" x14ac:dyDescent="0.25">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3.8" x14ac:dyDescent="0.25">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3.8" x14ac:dyDescent="0.25">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3.8" x14ac:dyDescent="0.25">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3.8" x14ac:dyDescent="0.25">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3.8" x14ac:dyDescent="0.25">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3.8" x14ac:dyDescent="0.25">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3.8" x14ac:dyDescent="0.25">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3.8" x14ac:dyDescent="0.25">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3.8" x14ac:dyDescent="0.25">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3.8" x14ac:dyDescent="0.25">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3.8" x14ac:dyDescent="0.25">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3.8" x14ac:dyDescent="0.25">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3.8" x14ac:dyDescent="0.25">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3.8" x14ac:dyDescent="0.25">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3.8" x14ac:dyDescent="0.25">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3.8" x14ac:dyDescent="0.25">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3.8" x14ac:dyDescent="0.25">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3.8" x14ac:dyDescent="0.25">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3.8" x14ac:dyDescent="0.25">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3.8" x14ac:dyDescent="0.25">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3.8" x14ac:dyDescent="0.25">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3.8" x14ac:dyDescent="0.25">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3.8" x14ac:dyDescent="0.25">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3.8" x14ac:dyDescent="0.25">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3.8" x14ac:dyDescent="0.25">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3.8" x14ac:dyDescent="0.25">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3.8" x14ac:dyDescent="0.25">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3.8" x14ac:dyDescent="0.25">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3.8" x14ac:dyDescent="0.25">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3.8" x14ac:dyDescent="0.25">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3.8" x14ac:dyDescent="0.25">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3.8" x14ac:dyDescent="0.25">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3.8" x14ac:dyDescent="0.25">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3.8" x14ac:dyDescent="0.25">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3.8" x14ac:dyDescent="0.25">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3.8" x14ac:dyDescent="0.25">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3.8" x14ac:dyDescent="0.25">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3.8" x14ac:dyDescent="0.25">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3.8" x14ac:dyDescent="0.25">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3.8" x14ac:dyDescent="0.25">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3.8" x14ac:dyDescent="0.25">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3.8" x14ac:dyDescent="0.25">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3.8" x14ac:dyDescent="0.25">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3.8" x14ac:dyDescent="0.25">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3.8" x14ac:dyDescent="0.25">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3.8" x14ac:dyDescent="0.25">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3.8" x14ac:dyDescent="0.25">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3.8" x14ac:dyDescent="0.25">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3.8" x14ac:dyDescent="0.25">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3.8" x14ac:dyDescent="0.25">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3.8" x14ac:dyDescent="0.25">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3.8" x14ac:dyDescent="0.25">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3.8" x14ac:dyDescent="0.25">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3.8" x14ac:dyDescent="0.25">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3.8" x14ac:dyDescent="0.25">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3.8" x14ac:dyDescent="0.25">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3.8" x14ac:dyDescent="0.25">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3.8" x14ac:dyDescent="0.25">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3.8" x14ac:dyDescent="0.25">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3.8" x14ac:dyDescent="0.25">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3.8" x14ac:dyDescent="0.25">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3.8" x14ac:dyDescent="0.25">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3.8" x14ac:dyDescent="0.25">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3.8" x14ac:dyDescent="0.25">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3.8" x14ac:dyDescent="0.25">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3.8" x14ac:dyDescent="0.25">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3.8" x14ac:dyDescent="0.25">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3.8" x14ac:dyDescent="0.25">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3.8" x14ac:dyDescent="0.25">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3.8" x14ac:dyDescent="0.25">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3.8" x14ac:dyDescent="0.25">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3.8" x14ac:dyDescent="0.25">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3.8" x14ac:dyDescent="0.25">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3.8" x14ac:dyDescent="0.25">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3.8" x14ac:dyDescent="0.25">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3.8" x14ac:dyDescent="0.25">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3.8" x14ac:dyDescent="0.25">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3.8" x14ac:dyDescent="0.25">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3.8" x14ac:dyDescent="0.25">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3.8" x14ac:dyDescent="0.25">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3.8" x14ac:dyDescent="0.25">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3.8" x14ac:dyDescent="0.25">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3.8" x14ac:dyDescent="0.25">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3.8" x14ac:dyDescent="0.25">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3.8" x14ac:dyDescent="0.25">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3.8" x14ac:dyDescent="0.25">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3.8" x14ac:dyDescent="0.25">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3.8" x14ac:dyDescent="0.25">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3.8" x14ac:dyDescent="0.25">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3.8" x14ac:dyDescent="0.25">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3.8" x14ac:dyDescent="0.25">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3.8" x14ac:dyDescent="0.25">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3.8" x14ac:dyDescent="0.25">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3.8" x14ac:dyDescent="0.25">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3.8" x14ac:dyDescent="0.25">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3.8" x14ac:dyDescent="0.25">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3.8" x14ac:dyDescent="0.25">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3.8" x14ac:dyDescent="0.25">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3.8" x14ac:dyDescent="0.25">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3.8" x14ac:dyDescent="0.25">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3.8" x14ac:dyDescent="0.25">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3.8" x14ac:dyDescent="0.25">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3.8" x14ac:dyDescent="0.25">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3.8" x14ac:dyDescent="0.25">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3.8" x14ac:dyDescent="0.25">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3.8" x14ac:dyDescent="0.25">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3.8" x14ac:dyDescent="0.25">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3.8" x14ac:dyDescent="0.25">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3.8" x14ac:dyDescent="0.25">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3.8" x14ac:dyDescent="0.25">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3.8" x14ac:dyDescent="0.25">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3.8" x14ac:dyDescent="0.25">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3.8" x14ac:dyDescent="0.25">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3.8" x14ac:dyDescent="0.25">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3.8" x14ac:dyDescent="0.25">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3.8" x14ac:dyDescent="0.25">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3.8" x14ac:dyDescent="0.25">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3.8" x14ac:dyDescent="0.25">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3.8" x14ac:dyDescent="0.25">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3.8" x14ac:dyDescent="0.25">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3.8" x14ac:dyDescent="0.25">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3.8" x14ac:dyDescent="0.25">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3.8" x14ac:dyDescent="0.25">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3.8" x14ac:dyDescent="0.25">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3.8" x14ac:dyDescent="0.25">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3.8" x14ac:dyDescent="0.25">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3.8" x14ac:dyDescent="0.25">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3.8" x14ac:dyDescent="0.25">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3.8" x14ac:dyDescent="0.25">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3.8" x14ac:dyDescent="0.25">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3.8" x14ac:dyDescent="0.25">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3.8" x14ac:dyDescent="0.25">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3.8" x14ac:dyDescent="0.25">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3.8" x14ac:dyDescent="0.25">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3.8" x14ac:dyDescent="0.25">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3.8" x14ac:dyDescent="0.25">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3.8" x14ac:dyDescent="0.25">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3.8" x14ac:dyDescent="0.25">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3.8" x14ac:dyDescent="0.25">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3.8" x14ac:dyDescent="0.25">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3.8" x14ac:dyDescent="0.25">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3.8" x14ac:dyDescent="0.25">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3.8" x14ac:dyDescent="0.25">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3.8" x14ac:dyDescent="0.25">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3.8" x14ac:dyDescent="0.25">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3.8" x14ac:dyDescent="0.25">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3.8" x14ac:dyDescent="0.25">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3.8" x14ac:dyDescent="0.25">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3.8" x14ac:dyDescent="0.25">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3.8" x14ac:dyDescent="0.25">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3.8" x14ac:dyDescent="0.25">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3.8" x14ac:dyDescent="0.25">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3.8" x14ac:dyDescent="0.25">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3.8" x14ac:dyDescent="0.25">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3.8" x14ac:dyDescent="0.25">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3.8" x14ac:dyDescent="0.25">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3.8" x14ac:dyDescent="0.25">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3.8" x14ac:dyDescent="0.25">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3.8" x14ac:dyDescent="0.25">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3.8" x14ac:dyDescent="0.25">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3.8" x14ac:dyDescent="0.25">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3.8" x14ac:dyDescent="0.25">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3.8" x14ac:dyDescent="0.25">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3.8" x14ac:dyDescent="0.25">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3.8" x14ac:dyDescent="0.25">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3.8" x14ac:dyDescent="0.25">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3.8" x14ac:dyDescent="0.25">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3.8" x14ac:dyDescent="0.25">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3.8" x14ac:dyDescent="0.25">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3.8" x14ac:dyDescent="0.25">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3.8" x14ac:dyDescent="0.25">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3.8" x14ac:dyDescent="0.25">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3.8" x14ac:dyDescent="0.25">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3.8" x14ac:dyDescent="0.25">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3.8" x14ac:dyDescent="0.25">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3.8" x14ac:dyDescent="0.25">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3.8" x14ac:dyDescent="0.25">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3.8" x14ac:dyDescent="0.25">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3.8" x14ac:dyDescent="0.25">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3.8" x14ac:dyDescent="0.25">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3.8" x14ac:dyDescent="0.25">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3.8" x14ac:dyDescent="0.25">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3.8" x14ac:dyDescent="0.25">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3.8" x14ac:dyDescent="0.25">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3.8" x14ac:dyDescent="0.25">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3.8" x14ac:dyDescent="0.25">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3.8" x14ac:dyDescent="0.25">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3.8" x14ac:dyDescent="0.25">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3.8" x14ac:dyDescent="0.25">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3.8" x14ac:dyDescent="0.25">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3.8" x14ac:dyDescent="0.25">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3.8" x14ac:dyDescent="0.25">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3.8" x14ac:dyDescent="0.25">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3.8" x14ac:dyDescent="0.25">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3.8" x14ac:dyDescent="0.25">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3.8" x14ac:dyDescent="0.25">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3.8" x14ac:dyDescent="0.25">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3.8" x14ac:dyDescent="0.25">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3.8" x14ac:dyDescent="0.25">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3.8" x14ac:dyDescent="0.25">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3.8" x14ac:dyDescent="0.25">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3.8" x14ac:dyDescent="0.25">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3.8" x14ac:dyDescent="0.25">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3.8" x14ac:dyDescent="0.25">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 thickBot="1" x14ac:dyDescent="0.3">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29"/>
      <c r="Y260" s="1529"/>
      <c r="Z260" s="366">
        <f>SUM(Z12:Z259)</f>
        <v>0</v>
      </c>
      <c r="AA260" s="34"/>
      <c r="AB260" s="34"/>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u0Q/HH8lCm6Z3YdE0Vmj5BsZSVxM5HqdjFwpNSTvaksHQRG4++GXLUtYhXbjcC6K5Tv0kG9wRnpSCLrvbjSVJw==" saltValue="F01YVU2rL7WUXAmDVopC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A10:AB10"/>
    <mergeCell ref="L10:Q10"/>
    <mergeCell ref="M5:O5"/>
    <mergeCell ref="I3:O3"/>
    <mergeCell ref="M4:O4"/>
    <mergeCell ref="V2:AA4"/>
    <mergeCell ref="V5:Z6"/>
    <mergeCell ref="V10:W10"/>
    <mergeCell ref="X10:Y10"/>
    <mergeCell ref="Z10:Z11"/>
    <mergeCell ref="R10:U10"/>
    <mergeCell ref="X260:Y260"/>
    <mergeCell ref="I6:L6"/>
    <mergeCell ref="M6:O6"/>
    <mergeCell ref="B2:E2"/>
    <mergeCell ref="B3:E4"/>
    <mergeCell ref="I10:K10"/>
    <mergeCell ref="C10:D10"/>
    <mergeCell ref="E10:F10"/>
    <mergeCell ref="G10:H10"/>
    <mergeCell ref="I4:L4"/>
    <mergeCell ref="I5:L5"/>
  </mergeCells>
  <conditionalFormatting sqref="H12:H259">
    <cfRule type="beginsWith" dxfId="138" priority="18" operator="beginsWith" text="Not Possible">
      <formula>LEFT(H12,LEN("Not Possible"))="Not Possible"</formula>
    </cfRule>
  </conditionalFormatting>
  <conditionalFormatting sqref="J12:K259">
    <cfRule type="containsText" dxfId="137" priority="28" operator="containsText" text="Spatial">
      <formula>NOT(ISERROR(SEARCH("Spatial",J12)))</formula>
    </cfRule>
  </conditionalFormatting>
  <conditionalFormatting sqref="M4:M5">
    <cfRule type="containsText" dxfId="136" priority="3" operator="containsText" text="Error">
      <formula>NOT(ISERROR(SEARCH("Error",M4)))</formula>
    </cfRule>
    <cfRule type="containsText" dxfId="135" priority="4" operator="containsText" text="Check">
      <formula>NOT(ISERROR(SEARCH("Check",M4)))</formula>
    </cfRule>
  </conditionalFormatting>
  <conditionalFormatting sqref="M6">
    <cfRule type="containsText" dxfId="134" priority="6" operator="containsText" text="No">
      <formula>NOT(ISERROR(SEARCH("No",M6)))</formula>
    </cfRule>
    <cfRule type="containsText" dxfId="133" priority="7" operator="containsText" text="Yes">
      <formula>NOT(ISERROR(SEARCH("Yes",M6)))</formula>
    </cfRule>
  </conditionalFormatting>
  <conditionalFormatting sqref="M4:O6">
    <cfRule type="containsText" dxfId="132" priority="1" operator="containsText" text="N/A">
      <formula>NOT(ISERROR(SEARCH("N/A",M4)))</formula>
    </cfRule>
  </conditionalFormatting>
  <conditionalFormatting sqref="M5:O5">
    <cfRule type="cellIs" dxfId="131" priority="2" operator="equal">
      <formula>0</formula>
    </cfRule>
    <cfRule type="cellIs" dxfId="130" priority="5" operator="lessThan">
      <formula>0</formula>
    </cfRule>
  </conditionalFormatting>
  <conditionalFormatting sqref="O12:Q259">
    <cfRule type="cellIs" dxfId="127" priority="16" operator="equal">
      <formula>"30+ ⚠"</formula>
    </cfRule>
    <cfRule type="containsText" dxfId="126" priority="26" operator="containsText" text="Check">
      <formula>NOT(ISERROR(SEARCH("Check",O12)))</formula>
    </cfRule>
    <cfRule type="containsText" dxfId="125" priority="27" operator="containsText" text="Error">
      <formula>NOT(ISERROR(SEARCH("Error",O12)))</formula>
    </cfRule>
  </conditionalFormatting>
  <conditionalFormatting sqref="S12:S259">
    <cfRule type="beginsWith" dxfId="124" priority="21" operator="beginsWith" text="No - Low Difficulty">
      <formula>LEFT(S12,LEN("No - Low Difficulty"))="No - Low Difficulty"</formula>
    </cfRule>
  </conditionalFormatting>
  <conditionalFormatting sqref="S12:Z259">
    <cfRule type="containsText" dxfId="123" priority="22" operator="containsText" text="Error">
      <formula>NOT(ISERROR(SEARCH("Error",S12)))</formula>
    </cfRule>
    <cfRule type="containsText" dxfId="122" priority="23" operator="containsText" text="Check">
      <formula>NOT(ISERROR(SEARCH("Check",S12)))</formula>
    </cfRule>
  </conditionalFormatting>
  <conditionalFormatting sqref="V2 L7:P7">
    <cfRule type="containsText" dxfId="121" priority="17" operator="containsText" text="Note">
      <formula>NOT(ISERROR(SEARCH("Note",L2)))</formula>
    </cfRule>
  </conditionalFormatting>
  <conditionalFormatting sqref="V5 V2">
    <cfRule type="containsText" dxfId="120" priority="9" operator="containsText" text="Error">
      <formula>NOT(ISERROR(SEARCH("Error",V2)))</formula>
    </cfRule>
  </conditionalFormatting>
  <conditionalFormatting sqref="V5:Z6">
    <cfRule type="containsText" dxfId="119" priority="8" operator="containsText" text="Check">
      <formula>NOT(ISERROR(SEARCH("Check",V5)))</formula>
    </cfRule>
  </conditionalFormatting>
  <conditionalFormatting sqref="W12:W259">
    <cfRule type="containsText" dxfId="118" priority="20" operator="containsText" text="Spatial">
      <formula>NOT(ISERROR(SEARCH("Spatial",W12)))</formula>
    </cfRule>
  </conditionalFormatting>
  <conditionalFormatting sqref="Y12:Y259">
    <cfRule type="containsText" dxfId="117" priority="19" operator="containsText" text="Missing">
      <formula>NOT(ISERROR(SEARCH("Missing",Y12)))</formula>
    </cfRule>
  </conditionalFormatting>
  <conditionalFormatting sqref="Z12:Z259">
    <cfRule type="containsText" dxfId="116" priority="29" operator="containsText" text="Existing Value Not Required">
      <formula>NOT(ISERROR(SEARCH("Existing Value Not Required",Z12)))</formula>
    </cfRule>
    <cfRule type="containsText" dxfId="115" priority="30"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6" operator="lessThan" id="{84BACA77-6ED3-4402-B70B-8E87E52B228F}">
            <xm:f>Start!$F$22</xm:f>
            <x14:dxf>
              <font>
                <color rgb="FF383745"/>
              </font>
              <fill>
                <patternFill>
                  <bgColor rgb="FFFFC000"/>
                </patternFill>
              </fill>
            </x14:dxf>
          </x14:cfRule>
          <x14:cfRule type="cellIs" priority="447"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4.21875" style="30" customWidth="1"/>
    <col min="3" max="3" width="41.21875" style="30" customWidth="1"/>
    <col min="4" max="4" width="9" style="30" customWidth="1"/>
    <col min="5" max="5" width="18.77734375" style="30" customWidth="1"/>
    <col min="6" max="7" width="18.21875" style="30" customWidth="1"/>
    <col min="8" max="8" width="19.21875" style="30" customWidth="1"/>
    <col min="9" max="9" width="25.77734375" style="30" customWidth="1"/>
    <col min="10" max="13" width="19.21875" style="30" customWidth="1"/>
    <col min="14" max="14" width="45.77734375" style="30" customWidth="1"/>
    <col min="15" max="15" width="34.21875" style="30" customWidth="1"/>
    <col min="16" max="16" width="46.77734375" style="30" customWidth="1"/>
    <col min="17" max="17" width="10" style="30" customWidth="1"/>
    <col min="18" max="18" width="19.44140625" style="30" customWidth="1"/>
    <col min="19" max="19" width="13.21875" style="30" customWidth="1"/>
    <col min="20" max="20" width="12.5546875" style="30" bestFit="1" customWidth="1"/>
    <col min="21" max="21" width="12.5546875" style="30" customWidth="1"/>
    <col min="22" max="22" width="33.77734375" style="30" customWidth="1"/>
    <col min="23" max="23" width="15.44140625" style="30" customWidth="1"/>
    <col min="24" max="24" width="12.21875" style="30" customWidth="1"/>
    <col min="25" max="25" width="18.44140625" style="30" customWidth="1"/>
    <col min="26" max="26" width="21" style="30" customWidth="1"/>
    <col min="27" max="27" width="24.44140625" style="30" customWidth="1"/>
    <col min="28" max="28" width="34.44140625" style="30" customWidth="1"/>
    <col min="29" max="29" width="18.44140625" style="30" customWidth="1"/>
    <col min="30" max="30" width="15.21875" style="30" customWidth="1"/>
    <col min="31" max="31" width="16.5546875" style="30" customWidth="1"/>
    <col min="32" max="32" width="28.21875" style="30" customWidth="1"/>
    <col min="33" max="33" width="16.21875" style="30" customWidth="1"/>
    <col min="34" max="34" width="15.21875" style="30" customWidth="1"/>
    <col min="35" max="35" width="17.5546875" style="30" customWidth="1"/>
    <col min="36" max="36" width="15.21875" style="30" customWidth="1"/>
    <col min="37" max="37" width="19.5546875" style="30" customWidth="1"/>
    <col min="38" max="38" width="12.77734375" style="30" customWidth="1"/>
    <col min="39" max="39" width="15.21875" style="30" customWidth="1"/>
    <col min="40" max="41" width="34.77734375" style="30" customWidth="1"/>
    <col min="42" max="42" width="14.21875" style="30" customWidth="1"/>
    <col min="43" max="47" width="8.77734375" style="30" customWidth="1"/>
    <col min="48" max="48" width="10.77734375" style="30" hidden="1" customWidth="1"/>
    <col min="49" max="56" width="0" style="30" hidden="1" customWidth="1"/>
    <col min="57" max="16384" width="8.77734375" style="30" hidden="1"/>
  </cols>
  <sheetData>
    <row r="1" spans="2:48" ht="20.55" customHeight="1" thickBot="1" x14ac:dyDescent="0.3"/>
    <row r="2" spans="2:48" ht="27" customHeight="1" thickBot="1" x14ac:dyDescent="0.3">
      <c r="B2" s="1554" t="str">
        <f>CONCATENATE("Project Name:", " ", Start!F12, "     ", "Map Reference:", " ", Start!K55)</f>
        <v xml:space="preserve">Project Name: Broadfield Park Slopes (‘The Slopes’), The Esplanade, Rochdale, OL16 1AQ     Map Reference: </v>
      </c>
      <c r="C2" s="1555"/>
      <c r="D2" s="1555"/>
      <c r="E2" s="1556"/>
      <c r="O2" s="1595" t="s">
        <v>404</v>
      </c>
      <c r="P2" s="1596"/>
      <c r="Q2" s="510"/>
      <c r="R2" s="102"/>
      <c r="S2" s="1518" t="str" cm="1">
        <f t="array" ref="S2">IF(OR(T12:T257 = "Fairly Good", T12:T257 = "Fairly Poor"),"A 'Fairly' Category has been used - check evidence to ensure this is appropriate ⚠", "")</f>
        <v/>
      </c>
      <c r="T2" s="1518"/>
      <c r="U2" s="1518"/>
      <c r="V2" s="1518"/>
      <c r="W2" s="1518"/>
      <c r="X2" s="1518"/>
      <c r="Y2" s="1463" t="str">
        <f>IF(OR(COUNTIF($Y$12:Y259,"*30+*")&gt;0,COUNTIF($AC$12:AC259,"*30+*")&gt;0),"Note; Habitat selected has a time to target condition greater than 30 years. Non standard agreement may be required. ⚠","")</f>
        <v/>
      </c>
      <c r="Z2" s="1463"/>
      <c r="AA2" s="1463"/>
      <c r="AB2" s="1463"/>
      <c r="AC2" s="1463"/>
      <c r="AD2" s="1463"/>
    </row>
    <row r="3" spans="2:48" ht="18" customHeight="1" thickBot="1" x14ac:dyDescent="0.3">
      <c r="B3" s="1610" t="str">
        <f ca="1">MID(CELL("filename",A1),FIND("]",CELL("filename",A1))+1,256)</f>
        <v>C-3 On-Site WaterC' Enhancement</v>
      </c>
      <c r="C3" s="1611"/>
      <c r="D3" s="1611"/>
      <c r="E3" s="1612"/>
      <c r="O3" s="535" t="s">
        <v>263</v>
      </c>
      <c r="P3" s="512">
        <f>'Headline Results'!H49</f>
        <v>0</v>
      </c>
      <c r="Q3" s="509"/>
      <c r="S3" s="1518"/>
      <c r="T3" s="1518"/>
      <c r="U3" s="1518"/>
      <c r="V3" s="1518"/>
      <c r="W3" s="1518"/>
      <c r="X3" s="1518"/>
      <c r="Y3" s="1463"/>
      <c r="Z3" s="1463"/>
      <c r="AA3" s="1463"/>
      <c r="AB3" s="1463"/>
      <c r="AC3" s="1463"/>
      <c r="AD3" s="1463"/>
    </row>
    <row r="4" spans="2:48" ht="21" customHeight="1" thickBot="1" x14ac:dyDescent="0.3">
      <c r="B4" s="1610"/>
      <c r="C4" s="1611"/>
      <c r="D4" s="1611"/>
      <c r="E4" s="1612"/>
      <c r="O4" s="506" t="s">
        <v>265</v>
      </c>
      <c r="P4" s="581">
        <f>'Headline Results'!H53</f>
        <v>0</v>
      </c>
      <c r="Q4" s="509"/>
      <c r="S4" s="1518"/>
      <c r="T4" s="1518"/>
      <c r="U4" s="1518"/>
      <c r="V4" s="1518"/>
      <c r="W4" s="1518"/>
      <c r="X4" s="1518"/>
      <c r="Y4" s="1463"/>
      <c r="Z4" s="1463"/>
      <c r="AA4" s="1463"/>
      <c r="AB4" s="1463"/>
      <c r="AC4" s="1463"/>
      <c r="AD4" s="1463"/>
    </row>
    <row r="5" spans="2:48" ht="15.6" customHeight="1" thickBot="1" x14ac:dyDescent="0.35">
      <c r="O5" s="536" t="s">
        <v>267</v>
      </c>
      <c r="P5" s="504" t="str" cm="1">
        <f t="array" ref="P5">IF(OR('Trading Summary WaterC''s'!G5:H8="No ▲"), "No - check trading summary ▲", "Yes ✓")</f>
        <v>Yes ✓</v>
      </c>
      <c r="Q5" s="509"/>
      <c r="R5" s="509"/>
      <c r="AH5" s="158"/>
      <c r="AI5" s="158"/>
      <c r="AJ5" s="158"/>
      <c r="AK5" s="158"/>
      <c r="AL5" s="158"/>
    </row>
    <row r="6" spans="2:48" ht="16.2" customHeight="1" x14ac:dyDescent="0.25">
      <c r="F6" s="101"/>
    </row>
    <row r="7" spans="2:48" ht="13.8" x14ac:dyDescent="0.25"/>
    <row r="8" spans="2:48" ht="14.4" thickBot="1" x14ac:dyDescent="0.3"/>
    <row r="9" spans="2:48" ht="14.4" thickBot="1" x14ac:dyDescent="0.3">
      <c r="C9" s="101"/>
      <c r="D9" s="101"/>
      <c r="E9" s="101"/>
      <c r="F9" s="101"/>
      <c r="G9" s="101"/>
      <c r="H9" s="101"/>
      <c r="I9" s="101"/>
      <c r="J9" s="101"/>
      <c r="K9" s="101"/>
      <c r="L9" s="101"/>
      <c r="M9" s="101"/>
      <c r="N9" s="1542" t="s">
        <v>311</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4"/>
      <c r="AM9" s="332"/>
    </row>
    <row r="10" spans="2:48" s="33" customFormat="1" ht="27" customHeight="1" thickBot="1" x14ac:dyDescent="0.3">
      <c r="C10" s="1534" t="s">
        <v>332</v>
      </c>
      <c r="D10" s="1534"/>
      <c r="E10" s="1534"/>
      <c r="F10" s="1534"/>
      <c r="G10" s="1534"/>
      <c r="H10" s="1534"/>
      <c r="I10" s="1534"/>
      <c r="J10" s="1534"/>
      <c r="K10" s="1534"/>
      <c r="L10" s="1534"/>
      <c r="M10" s="1534"/>
      <c r="N10" s="1573" t="s">
        <v>420</v>
      </c>
      <c r="O10" s="1589" t="s">
        <v>334</v>
      </c>
      <c r="P10" s="1589"/>
      <c r="Q10" s="1552" t="s">
        <v>34</v>
      </c>
      <c r="R10" s="1552" t="s">
        <v>421</v>
      </c>
      <c r="S10" s="1552"/>
      <c r="T10" s="1552" t="s">
        <v>422</v>
      </c>
      <c r="U10" s="1552"/>
      <c r="V10" s="1573" t="s">
        <v>271</v>
      </c>
      <c r="W10" s="1574"/>
      <c r="X10" s="1575"/>
      <c r="Y10" s="1573" t="s">
        <v>314</v>
      </c>
      <c r="Z10" s="1574"/>
      <c r="AA10" s="1574"/>
      <c r="AB10" s="1574"/>
      <c r="AC10" s="1574"/>
      <c r="AD10" s="1575"/>
      <c r="AE10" s="1573" t="s">
        <v>315</v>
      </c>
      <c r="AF10" s="1574"/>
      <c r="AG10" s="1574"/>
      <c r="AH10" s="1575"/>
      <c r="AI10" s="1552" t="s">
        <v>406</v>
      </c>
      <c r="AJ10" s="1552"/>
      <c r="AK10" s="1573" t="s">
        <v>407</v>
      </c>
      <c r="AL10" s="1575"/>
      <c r="AM10" s="1552" t="s">
        <v>418</v>
      </c>
      <c r="AN10" s="1315" t="s">
        <v>276</v>
      </c>
      <c r="AO10" s="1313"/>
    </row>
    <row r="11" spans="2:48" ht="62.25" customHeight="1" thickBot="1" x14ac:dyDescent="0.3">
      <c r="B11" s="719" t="s">
        <v>339</v>
      </c>
      <c r="C11" s="140" t="s">
        <v>340</v>
      </c>
      <c r="D11" s="145" t="s">
        <v>34</v>
      </c>
      <c r="E11" s="145" t="s">
        <v>342</v>
      </c>
      <c r="F11" s="145" t="s">
        <v>343</v>
      </c>
      <c r="G11" s="145" t="s">
        <v>344</v>
      </c>
      <c r="H11" s="145" t="s">
        <v>345</v>
      </c>
      <c r="I11" s="145" t="s">
        <v>346</v>
      </c>
      <c r="J11" s="145" t="s">
        <v>271</v>
      </c>
      <c r="K11" s="145" t="s">
        <v>423</v>
      </c>
      <c r="L11" s="145" t="s">
        <v>272</v>
      </c>
      <c r="M11" s="144" t="s">
        <v>424</v>
      </c>
      <c r="N11" s="1614"/>
      <c r="O11" s="126" t="s">
        <v>395</v>
      </c>
      <c r="P11" s="861" t="s">
        <v>396</v>
      </c>
      <c r="Q11" s="1588"/>
      <c r="R11" s="126" t="s">
        <v>269</v>
      </c>
      <c r="S11" s="861" t="s">
        <v>286</v>
      </c>
      <c r="T11" s="126" t="s">
        <v>270</v>
      </c>
      <c r="U11" s="861" t="s">
        <v>286</v>
      </c>
      <c r="V11" s="126" t="s">
        <v>271</v>
      </c>
      <c r="W11" s="874" t="s">
        <v>271</v>
      </c>
      <c r="X11" s="861" t="s">
        <v>317</v>
      </c>
      <c r="Y11" s="126" t="s">
        <v>392</v>
      </c>
      <c r="Z11" s="874" t="s">
        <v>377</v>
      </c>
      <c r="AA11" s="874" t="s">
        <v>354</v>
      </c>
      <c r="AB11" s="874" t="s">
        <v>321</v>
      </c>
      <c r="AC11" s="874" t="s">
        <v>322</v>
      </c>
      <c r="AD11" s="861" t="s">
        <v>397</v>
      </c>
      <c r="AE11" s="126" t="s">
        <v>398</v>
      </c>
      <c r="AF11" s="874" t="s">
        <v>1679</v>
      </c>
      <c r="AG11" s="874" t="s">
        <v>356</v>
      </c>
      <c r="AH11" s="861" t="s">
        <v>327</v>
      </c>
      <c r="AI11" s="126" t="s">
        <v>409</v>
      </c>
      <c r="AJ11" s="861" t="s">
        <v>410</v>
      </c>
      <c r="AK11" s="126" t="s">
        <v>411</v>
      </c>
      <c r="AL11" s="861" t="s">
        <v>410</v>
      </c>
      <c r="AM11" s="1588"/>
      <c r="AN11" s="126" t="s">
        <v>295</v>
      </c>
      <c r="AO11" s="861" t="s">
        <v>296</v>
      </c>
      <c r="AP11" s="48" t="s">
        <v>297</v>
      </c>
      <c r="AV11" s="210" t="s">
        <v>280</v>
      </c>
    </row>
    <row r="12" spans="2:48" ht="13.8" x14ac:dyDescent="0.25">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3.8" x14ac:dyDescent="0.25">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3.8" x14ac:dyDescent="0.25">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3.8" x14ac:dyDescent="0.25">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3.8" x14ac:dyDescent="0.25">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3.8" x14ac:dyDescent="0.25">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3.8" x14ac:dyDescent="0.25">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3.8" x14ac:dyDescent="0.25">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3.8" x14ac:dyDescent="0.25">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3.8" x14ac:dyDescent="0.25">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3.8" x14ac:dyDescent="0.25">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3.8" x14ac:dyDescent="0.25">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3.8" x14ac:dyDescent="0.25">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3.8" x14ac:dyDescent="0.25">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3.8" x14ac:dyDescent="0.25">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3.8" x14ac:dyDescent="0.25">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3.8" x14ac:dyDescent="0.25">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3.8" x14ac:dyDescent="0.25">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3.8" x14ac:dyDescent="0.25">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3.8" x14ac:dyDescent="0.25">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3.8" x14ac:dyDescent="0.25">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3.8" x14ac:dyDescent="0.25">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3.8" x14ac:dyDescent="0.25">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3.8" x14ac:dyDescent="0.25">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3.8" x14ac:dyDescent="0.25">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3.8" x14ac:dyDescent="0.25">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3.8" x14ac:dyDescent="0.25">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3.8" x14ac:dyDescent="0.25">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3.8" x14ac:dyDescent="0.25">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3.8" x14ac:dyDescent="0.25">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3.8" x14ac:dyDescent="0.25">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3.8" x14ac:dyDescent="0.25">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3.8" x14ac:dyDescent="0.25">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3.8" x14ac:dyDescent="0.25">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3.8" x14ac:dyDescent="0.25">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3.8" x14ac:dyDescent="0.25">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3.8" x14ac:dyDescent="0.25">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3.8" x14ac:dyDescent="0.25">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3.8" x14ac:dyDescent="0.25">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3.8" x14ac:dyDescent="0.25">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3.8" x14ac:dyDescent="0.25">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3.8" x14ac:dyDescent="0.25">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3.8" x14ac:dyDescent="0.25">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3.8" x14ac:dyDescent="0.25">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3.8" x14ac:dyDescent="0.25">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3.8" x14ac:dyDescent="0.25">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3.8" x14ac:dyDescent="0.25">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3.8" x14ac:dyDescent="0.25">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3.8" x14ac:dyDescent="0.25">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3.8" x14ac:dyDescent="0.25">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3.8" x14ac:dyDescent="0.25">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3.8" x14ac:dyDescent="0.25">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3.8" x14ac:dyDescent="0.25">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3.8" x14ac:dyDescent="0.25">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3.8" x14ac:dyDescent="0.25">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3.8" x14ac:dyDescent="0.25">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3.8" x14ac:dyDescent="0.25">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3.8" x14ac:dyDescent="0.25">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3.8" x14ac:dyDescent="0.25">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3.8" x14ac:dyDescent="0.25">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3.8" x14ac:dyDescent="0.25">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3.8" x14ac:dyDescent="0.25">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3.8" x14ac:dyDescent="0.25">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3.8" x14ac:dyDescent="0.25">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3.8" x14ac:dyDescent="0.25">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3.8" x14ac:dyDescent="0.25">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3.8" x14ac:dyDescent="0.25">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3.8" x14ac:dyDescent="0.25">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3.8" x14ac:dyDescent="0.25">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3.8" x14ac:dyDescent="0.25">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3.8" x14ac:dyDescent="0.25">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3.8" x14ac:dyDescent="0.25">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3.8" x14ac:dyDescent="0.25">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3.8" x14ac:dyDescent="0.25">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3.8" x14ac:dyDescent="0.25">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3.8" x14ac:dyDescent="0.25">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3.8" x14ac:dyDescent="0.25">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3.8" x14ac:dyDescent="0.25">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3.8" x14ac:dyDescent="0.25">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3.8" x14ac:dyDescent="0.25">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3.8" x14ac:dyDescent="0.25">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3.8" x14ac:dyDescent="0.25">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3.8" x14ac:dyDescent="0.25">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3.8" x14ac:dyDescent="0.25">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3.8" x14ac:dyDescent="0.25">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3.8" x14ac:dyDescent="0.25">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3.8" x14ac:dyDescent="0.25">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3.8" x14ac:dyDescent="0.25">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3.8" x14ac:dyDescent="0.25">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3.8" x14ac:dyDescent="0.25">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3.8" x14ac:dyDescent="0.25">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3.8" x14ac:dyDescent="0.25">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3.8" x14ac:dyDescent="0.25">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3.8" x14ac:dyDescent="0.25">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3.8" x14ac:dyDescent="0.25">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3.8" x14ac:dyDescent="0.25">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3.8" x14ac:dyDescent="0.25">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3.8" x14ac:dyDescent="0.25">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3.8" x14ac:dyDescent="0.25">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3.8" x14ac:dyDescent="0.25">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3.8" x14ac:dyDescent="0.25">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3.8" x14ac:dyDescent="0.25">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3.8" x14ac:dyDescent="0.25">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3.8" x14ac:dyDescent="0.25">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3.8" x14ac:dyDescent="0.25">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3.8" x14ac:dyDescent="0.25">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3.8" x14ac:dyDescent="0.25">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3.8" x14ac:dyDescent="0.25">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3.8" x14ac:dyDescent="0.25">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3.8" x14ac:dyDescent="0.25">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3.8" x14ac:dyDescent="0.25">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3.8" x14ac:dyDescent="0.25">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3.8" x14ac:dyDescent="0.25">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3.8" x14ac:dyDescent="0.25">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3.8" x14ac:dyDescent="0.25">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3.8" x14ac:dyDescent="0.25">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3.8" x14ac:dyDescent="0.25">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3.8" x14ac:dyDescent="0.25">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3.8" x14ac:dyDescent="0.25">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3.8" x14ac:dyDescent="0.25">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3.8" x14ac:dyDescent="0.25">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3.8" x14ac:dyDescent="0.25">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3.8" x14ac:dyDescent="0.25">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3.8" x14ac:dyDescent="0.25">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3.8" x14ac:dyDescent="0.25">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3.8" x14ac:dyDescent="0.25">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3.8" x14ac:dyDescent="0.25">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3.8" x14ac:dyDescent="0.25">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3.8" x14ac:dyDescent="0.25">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3.8" x14ac:dyDescent="0.25">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3.8" x14ac:dyDescent="0.25">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3.8" x14ac:dyDescent="0.25">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3.8" x14ac:dyDescent="0.25">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3.8" x14ac:dyDescent="0.25">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3.8" x14ac:dyDescent="0.25">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3.8" x14ac:dyDescent="0.25">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3.8" x14ac:dyDescent="0.25">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3.8" x14ac:dyDescent="0.25">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3.8" x14ac:dyDescent="0.25">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3.8" x14ac:dyDescent="0.25">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3.8" x14ac:dyDescent="0.25">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3.8" x14ac:dyDescent="0.25">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3.8" x14ac:dyDescent="0.25">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3.8" x14ac:dyDescent="0.25">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3.8" x14ac:dyDescent="0.25">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3.8" x14ac:dyDescent="0.25">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3.8" x14ac:dyDescent="0.25">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3.8" x14ac:dyDescent="0.25">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3.8" x14ac:dyDescent="0.25">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3.8" x14ac:dyDescent="0.25">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3.8" x14ac:dyDescent="0.25">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3.8" x14ac:dyDescent="0.25">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3.8" x14ac:dyDescent="0.25">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3.8" x14ac:dyDescent="0.25">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3.8" x14ac:dyDescent="0.25">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3.8" x14ac:dyDescent="0.25">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3.8" x14ac:dyDescent="0.25">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3.8" x14ac:dyDescent="0.25">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3.8" x14ac:dyDescent="0.25">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3.8" x14ac:dyDescent="0.25">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3.8" x14ac:dyDescent="0.25">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3.8" x14ac:dyDescent="0.25">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3.8" x14ac:dyDescent="0.25">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3.8" x14ac:dyDescent="0.25">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3.8" x14ac:dyDescent="0.25">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3.8" x14ac:dyDescent="0.25">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3.8" x14ac:dyDescent="0.25">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3.8" x14ac:dyDescent="0.25">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3.8" x14ac:dyDescent="0.25">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3.8" x14ac:dyDescent="0.25">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3.8" x14ac:dyDescent="0.25">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3.8" x14ac:dyDescent="0.25">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3.8" x14ac:dyDescent="0.25">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3.8" x14ac:dyDescent="0.25">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3.8" x14ac:dyDescent="0.25">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3.8" x14ac:dyDescent="0.25">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3.8" x14ac:dyDescent="0.25">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3.8" x14ac:dyDescent="0.25">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3.8" x14ac:dyDescent="0.25">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3.8" x14ac:dyDescent="0.25">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3.8" x14ac:dyDescent="0.25">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3.8" x14ac:dyDescent="0.25">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3.8" x14ac:dyDescent="0.25">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3.8" x14ac:dyDescent="0.25">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3.8" x14ac:dyDescent="0.25">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3.8" x14ac:dyDescent="0.25">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3.8" x14ac:dyDescent="0.25">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3.8" x14ac:dyDescent="0.25">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3.8" x14ac:dyDescent="0.25">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3.8" x14ac:dyDescent="0.25">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3.8" x14ac:dyDescent="0.25">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3.8" x14ac:dyDescent="0.25">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3.8" x14ac:dyDescent="0.25">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3.8" x14ac:dyDescent="0.25">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3.8" x14ac:dyDescent="0.25">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3.8" x14ac:dyDescent="0.25">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3.8" x14ac:dyDescent="0.25">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3.8" x14ac:dyDescent="0.25">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3.8" x14ac:dyDescent="0.25">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3.8" x14ac:dyDescent="0.25">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3.8" x14ac:dyDescent="0.25">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3.8" x14ac:dyDescent="0.25">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3.8" x14ac:dyDescent="0.25">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3.8" x14ac:dyDescent="0.25">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3.8" x14ac:dyDescent="0.25">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3.8" x14ac:dyDescent="0.25">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3.8" x14ac:dyDescent="0.25">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3.8" x14ac:dyDescent="0.25">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3.8" x14ac:dyDescent="0.25">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3.8" x14ac:dyDescent="0.25">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3.8" x14ac:dyDescent="0.25">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3.8" x14ac:dyDescent="0.25">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3.8" x14ac:dyDescent="0.25">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3.8" x14ac:dyDescent="0.25">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3.8" x14ac:dyDescent="0.25">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3.8" x14ac:dyDescent="0.25">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3.8" x14ac:dyDescent="0.25">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3.8" x14ac:dyDescent="0.25">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3.8" x14ac:dyDescent="0.25">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3.8" x14ac:dyDescent="0.25">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3.8" x14ac:dyDescent="0.25">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3.8" x14ac:dyDescent="0.25">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3.8" x14ac:dyDescent="0.25">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3.8" x14ac:dyDescent="0.25">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3.8" x14ac:dyDescent="0.25">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3.8" x14ac:dyDescent="0.25">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3.8" x14ac:dyDescent="0.25">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3.8" x14ac:dyDescent="0.25">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3.8" x14ac:dyDescent="0.25">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3.8" x14ac:dyDescent="0.25">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3.8" x14ac:dyDescent="0.25">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3.8" x14ac:dyDescent="0.25">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3.8" x14ac:dyDescent="0.25">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3.8" x14ac:dyDescent="0.25">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3.8" x14ac:dyDescent="0.25">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3.8" x14ac:dyDescent="0.25">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3.8" x14ac:dyDescent="0.25">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3.8" x14ac:dyDescent="0.25">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3.8" x14ac:dyDescent="0.25">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3.8" x14ac:dyDescent="0.25">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3.8" x14ac:dyDescent="0.25">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3.8" x14ac:dyDescent="0.25">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3.8" x14ac:dyDescent="0.25">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3.8" x14ac:dyDescent="0.25">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3.8" x14ac:dyDescent="0.25">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 thickBot="1" x14ac:dyDescent="0.3">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 thickBot="1" x14ac:dyDescent="0.3">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30"/>
      <c r="AL258" s="1530"/>
      <c r="AM258" s="345">
        <f>SUM(AM12:AM257)</f>
        <v>0</v>
      </c>
    </row>
    <row r="259" spans="2:48" ht="13.8" x14ac:dyDescent="0.25">
      <c r="AJ259" s="30"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FtS6evmhzhGk18IQ35p6X95BgWvXNzlUvAalCZsVMIyfTqaDs6s6XSxD2ugJLfKwV1Nx3gAjqS2zcrL9LwS2PA==" saltValue="tjI8GTKzPDiDgF8Jfb0ppA=="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 ref="O2:P2"/>
    <mergeCell ref="S2:X4"/>
  </mergeCells>
  <conditionalFormatting sqref="L12:L257">
    <cfRule type="containsText" dxfId="114" priority="26" operator="containsText" text="Restore">
      <formula>NOT(ISERROR(SEARCH("Restore",L12)))</formula>
    </cfRule>
  </conditionalFormatting>
  <conditionalFormatting sqref="O12:P257">
    <cfRule type="containsText" dxfId="113" priority="24" operator="containsText" text="Check">
      <formula>NOT(ISERROR(SEARCH("Check",O12)))</formula>
    </cfRule>
    <cfRule type="containsText" dxfId="112" priority="25" operator="containsText" text="Error">
      <formula>NOT(ISERROR(SEARCH("Error",O12)))</formula>
    </cfRule>
  </conditionalFormatting>
  <conditionalFormatting sqref="P3">
    <cfRule type="containsText" dxfId="111" priority="15" operator="containsText" text="Check">
      <formula>NOT(ISERROR(SEARCH("Check",P3)))</formula>
    </cfRule>
  </conditionalFormatting>
  <conditionalFormatting sqref="P3:P4">
    <cfRule type="containsText" dxfId="110" priority="4" operator="containsText" text="Error">
      <formula>NOT(ISERROR(SEARCH("Error",P3)))</formula>
    </cfRule>
  </conditionalFormatting>
  <conditionalFormatting sqref="P3:P5">
    <cfRule type="containsText" dxfId="109" priority="1" operator="containsText" text="N/A">
      <formula>NOT(ISERROR(SEARCH("N/A",P3)))</formula>
    </cfRule>
  </conditionalFormatting>
  <conditionalFormatting sqref="P4">
    <cfRule type="cellIs" dxfId="108" priority="2" operator="equal">
      <formula>0</formula>
    </cfRule>
    <cfRule type="containsText" dxfId="107" priority="3" operator="containsText" text="Check">
      <formula>NOT(ISERROR(SEARCH("Check",P4)))</formula>
    </cfRule>
    <cfRule type="cellIs" dxfId="106" priority="5" operator="lessThan">
      <formula>0</formula>
    </cfRule>
  </conditionalFormatting>
  <conditionalFormatting sqref="P5">
    <cfRule type="containsText" dxfId="103" priority="7" operator="containsText" text="No">
      <formula>NOT(ISERROR(SEARCH("No",P5)))</formula>
    </cfRule>
    <cfRule type="containsText" dxfId="102" priority="8" operator="containsText" text="Yes">
      <formula>NOT(ISERROR(SEARCH("Yes",P5)))</formula>
    </cfRule>
  </conditionalFormatting>
  <conditionalFormatting sqref="S2:X4">
    <cfRule type="containsText" dxfId="101" priority="9" operator="containsText" text="Check">
      <formula>NOT(ISERROR(SEARCH("Check",S2)))</formula>
    </cfRule>
  </conditionalFormatting>
  <conditionalFormatting sqref="U12:U257">
    <cfRule type="containsText" dxfId="100" priority="6" operator="containsText" text="Not possible">
      <formula>NOT(ISERROR(SEARCH("Not possible",U12)))</formula>
    </cfRule>
  </conditionalFormatting>
  <conditionalFormatting sqref="W12:X257">
    <cfRule type="containsText" dxfId="99" priority="23" operator="containsText" text="Spatial">
      <formula>NOT(ISERROR(SEARCH("Spatial",W12)))</formula>
    </cfRule>
  </conditionalFormatting>
  <conditionalFormatting sqref="Y2">
    <cfRule type="containsText" dxfId="98" priority="16" operator="containsText" text="Note">
      <formula>NOT(ISERROR(SEARCH("Note",Y2)))</formula>
    </cfRule>
  </conditionalFormatting>
  <conditionalFormatting sqref="Y12:Y257">
    <cfRule type="containsText" dxfId="97" priority="21" operator="containsText" text="Check">
      <formula>NOT(ISERROR(SEARCH("Check",Y12)))</formula>
    </cfRule>
    <cfRule type="containsText" dxfId="96" priority="22" operator="containsText" text="Error">
      <formula>NOT(ISERROR(SEARCH("Error",Y12)))</formula>
    </cfRule>
  </conditionalFormatting>
  <conditionalFormatting sqref="AB12:AM12 AB13:AL257 AM13:AM258">
    <cfRule type="containsText" dxfId="95" priority="19" operator="containsText" text="Check">
      <formula>NOT(ISERROR(SEARCH("Check",AB12)))</formula>
    </cfRule>
    <cfRule type="beginsWith" dxfId="94" priority="20" operator="beginsWith" text="Error">
      <formula>LEFT(AB12,LEN("Error"))="Error"</formula>
    </cfRule>
  </conditionalFormatting>
  <conditionalFormatting sqref="AF12:AF257">
    <cfRule type="beginsWith" dxfId="93" priority="18" operator="beginsWith" text="No - Low Difficulty">
      <formula>LEFT(AF12,LEN("No - Low Difficulty"))="No - Low Difficulty"</formula>
    </cfRule>
  </conditionalFormatting>
  <conditionalFormatting sqref="AJ12:AL257">
    <cfRule type="containsText" dxfId="92" priority="17"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8" operator="lessThan" id="{A52B8C1E-E180-4514-9FE9-CBD52145CDDA}">
            <xm:f>Start!$F$22</xm:f>
            <x14:dxf>
              <font>
                <color rgb="FF383745"/>
              </font>
              <fill>
                <patternFill>
                  <bgColor rgb="FFFFC000"/>
                </patternFill>
              </fill>
            </x14:dxf>
          </x14:cfRule>
          <x14:cfRule type="cellIs" priority="449"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77734375" defaultRowHeight="0" customHeight="1" zeroHeight="1" x14ac:dyDescent="0.25"/>
  <cols>
    <col min="1" max="1" width="3" style="30" customWidth="1"/>
    <col min="2" max="2" width="4.77734375" style="102" customWidth="1"/>
    <col min="3" max="3" width="10" style="102" customWidth="1"/>
    <col min="4" max="4" width="55" style="30" customWidth="1"/>
    <col min="5" max="5" width="13.21875" style="30" customWidth="1"/>
    <col min="6" max="6" width="18.77734375" style="30" customWidth="1"/>
    <col min="7" max="7" width="8.77734375" style="30" customWidth="1"/>
    <col min="8" max="8" width="14.21875" style="30" bestFit="1" customWidth="1"/>
    <col min="9" max="9" width="12.77734375" style="30" customWidth="1"/>
    <col min="10" max="10" width="33.77734375" style="30" customWidth="1"/>
    <col min="11" max="11" width="15.21875" style="30" customWidth="1"/>
    <col min="12" max="12" width="13.77734375" style="30" customWidth="1"/>
    <col min="13" max="13" width="18.21875" style="30" customWidth="1"/>
    <col min="14" max="14" width="12.77734375" style="30" customWidth="1"/>
    <col min="15" max="15" width="21" style="30" customWidth="1"/>
    <col min="16" max="16" width="12.77734375" style="30" customWidth="1"/>
    <col min="17" max="17" width="14.21875" style="30" customWidth="1"/>
    <col min="18" max="18" width="24.44140625" style="30" hidden="1" customWidth="1"/>
    <col min="19" max="19" width="77.5546875" style="30" customWidth="1"/>
    <col min="20" max="20" width="14.44140625" style="30" hidden="1" customWidth="1"/>
    <col min="21" max="21" width="15.21875" style="30" customWidth="1"/>
    <col min="22" max="22" width="3.77734375" style="30" customWidth="1"/>
    <col min="23" max="23" width="12.21875" style="30" customWidth="1"/>
    <col min="24" max="24" width="12.77734375" style="30" customWidth="1"/>
    <col min="25" max="25" width="10.77734375" style="30" customWidth="1"/>
    <col min="26" max="26" width="11.77734375" style="30" customWidth="1"/>
    <col min="27" max="27" width="15.44140625" style="30" customWidth="1"/>
    <col min="28" max="28" width="13.5546875" style="30" customWidth="1"/>
    <col min="29" max="29" width="17.21875" style="30" customWidth="1"/>
    <col min="30" max="31" width="50.21875" style="30" customWidth="1"/>
    <col min="32" max="32" width="12.5546875" style="30" customWidth="1"/>
    <col min="33" max="33" width="12.21875" style="30" customWidth="1"/>
    <col min="34" max="34" width="10.21875" style="30" hidden="1" customWidth="1"/>
    <col min="35" max="35" width="11.44140625" style="30" hidden="1" customWidth="1"/>
    <col min="36" max="36" width="22.21875" style="30" hidden="1" customWidth="1"/>
    <col min="37" max="51" width="6.77734375" style="30" hidden="1" customWidth="1"/>
    <col min="52" max="52" width="10.77734375" style="30" hidden="1" customWidth="1"/>
    <col min="53" max="58" width="6.77734375" style="30" hidden="1" customWidth="1"/>
    <col min="59" max="61" width="6.77734375" style="30" customWidth="1"/>
    <col min="62" max="16384" width="6.77734375" style="30"/>
  </cols>
  <sheetData>
    <row r="1" spans="2:52" ht="12.75" customHeight="1" thickBot="1" x14ac:dyDescent="0.3">
      <c r="B1" s="30"/>
      <c r="C1" s="30"/>
    </row>
    <row r="2" spans="2:52" ht="19.5" customHeight="1" thickBot="1" x14ac:dyDescent="0.3">
      <c r="B2" s="1600" t="str">
        <f>CONCATENATE("Project Name:", " ", Start!F12, "     ", "Map Reference:", " ", Start!F66)</f>
        <v xml:space="preserve">Project Name: Broadfield Park Slopes (‘The Slopes’), The Esplanade, Rochdale, OL16 1AQ     Map Reference: </v>
      </c>
      <c r="C2" s="1603"/>
      <c r="D2" s="1603"/>
      <c r="E2" s="1601"/>
      <c r="H2" s="1595" t="s">
        <v>404</v>
      </c>
      <c r="I2" s="1607"/>
      <c r="J2" s="1607"/>
      <c r="K2" s="1607"/>
      <c r="L2" s="1607"/>
      <c r="M2" s="1596"/>
      <c r="O2" s="1615" t="str" cm="1">
        <f t="array" ref="O2">IF(OR(H10:H257 = "Fairly Good", H10:H257 = "Fairly Poor"),"A 'Fairly' Category has been used - check evidence to ensure this is appropriate ⚠", "")</f>
        <v/>
      </c>
      <c r="P2" s="1615"/>
      <c r="Q2" s="1615"/>
      <c r="R2" s="1615"/>
      <c r="S2" s="1615"/>
      <c r="T2" s="1615"/>
      <c r="U2" s="1615"/>
      <c r="V2" s="1615"/>
    </row>
    <row r="3" spans="2:52" ht="15" customHeight="1" thickBot="1" x14ac:dyDescent="0.3">
      <c r="B3" s="1557" t="str">
        <f ca="1">MID(CELL("filename",A1),FIND("]",CELL("filename",A1))+1,256)</f>
        <v>F-1 Off-Site WaterC' Baseline</v>
      </c>
      <c r="C3" s="1558"/>
      <c r="D3" s="1558"/>
      <c r="E3" s="1559"/>
      <c r="H3" s="1505" t="s">
        <v>263</v>
      </c>
      <c r="I3" s="1506"/>
      <c r="J3" s="1506"/>
      <c r="K3" s="1501">
        <f>'Headline Results'!H49</f>
        <v>0</v>
      </c>
      <c r="L3" s="1501"/>
      <c r="M3" s="1502"/>
      <c r="O3" s="1615"/>
      <c r="P3" s="1615"/>
      <c r="Q3" s="1615"/>
      <c r="R3" s="1615"/>
      <c r="S3" s="1615"/>
      <c r="T3" s="1615"/>
      <c r="U3" s="1615"/>
      <c r="V3" s="1615"/>
    </row>
    <row r="4" spans="2:52" ht="15" customHeight="1" thickBot="1" x14ac:dyDescent="0.3">
      <c r="B4" s="1557"/>
      <c r="C4" s="1558"/>
      <c r="D4" s="1558"/>
      <c r="E4" s="1559"/>
      <c r="H4" s="1583" t="s">
        <v>265</v>
      </c>
      <c r="I4" s="1584"/>
      <c r="J4" s="1584"/>
      <c r="K4" s="1577">
        <f>'Headline Results'!H53</f>
        <v>0</v>
      </c>
      <c r="L4" s="1577"/>
      <c r="M4" s="1578"/>
      <c r="O4" s="1615"/>
      <c r="P4" s="1615"/>
      <c r="Q4" s="1615"/>
      <c r="R4" s="1615"/>
      <c r="S4" s="1615"/>
      <c r="T4" s="1615"/>
      <c r="U4" s="1615"/>
      <c r="V4" s="1615"/>
      <c r="W4" s="1608" t="str">
        <f>IF(SUM(AK10:AK257)&gt;0,"Check Lengths ⚠","")</f>
        <v/>
      </c>
      <c r="X4" s="1608"/>
      <c r="Y4" s="1608"/>
      <c r="Z4" s="1608"/>
      <c r="AA4" s="1608"/>
      <c r="AB4" s="1608"/>
      <c r="AC4" s="669"/>
    </row>
    <row r="5" spans="2:52" ht="27" customHeight="1" thickBot="1" x14ac:dyDescent="0.3">
      <c r="B5" s="30"/>
      <c r="C5" s="30"/>
      <c r="H5" s="1582" t="s">
        <v>267</v>
      </c>
      <c r="I5" s="1579"/>
      <c r="J5" s="1579"/>
      <c r="K5" s="1579" t="str" cm="1">
        <f t="array" ref="K5">IF(OR('Trading Summary WaterC''s'!G5:H8="No ▲"), "No - check trading summary ▲", "Yes ✓")</f>
        <v>Yes ✓</v>
      </c>
      <c r="L5" s="1579"/>
      <c r="M5" s="1580"/>
      <c r="V5" s="329"/>
      <c r="W5" s="1608"/>
      <c r="X5" s="1608"/>
      <c r="Y5" s="1608"/>
      <c r="Z5" s="1608"/>
      <c r="AA5" s="1608"/>
      <c r="AB5" s="1608"/>
      <c r="AC5" s="669"/>
    </row>
    <row r="6" spans="2:52" ht="40.200000000000003" customHeight="1" x14ac:dyDescent="0.25">
      <c r="B6" s="30"/>
      <c r="C6" s="30"/>
      <c r="D6" s="101"/>
    </row>
    <row r="7" spans="2:52" ht="14.4" thickBot="1" x14ac:dyDescent="0.3"/>
    <row r="8" spans="2:52" ht="30.75" customHeight="1" thickBot="1" x14ac:dyDescent="0.3">
      <c r="C8" s="1536" t="s">
        <v>405</v>
      </c>
      <c r="D8" s="1536"/>
      <c r="E8" s="1536"/>
      <c r="F8" s="1552" t="s">
        <v>269</v>
      </c>
      <c r="G8" s="1552"/>
      <c r="H8" s="1552" t="s">
        <v>357</v>
      </c>
      <c r="I8" s="1552"/>
      <c r="J8" s="1536" t="s">
        <v>271</v>
      </c>
      <c r="K8" s="1536"/>
      <c r="L8" s="1536"/>
      <c r="M8" s="1552" t="s">
        <v>406</v>
      </c>
      <c r="N8" s="1552"/>
      <c r="O8" s="1552" t="s">
        <v>407</v>
      </c>
      <c r="P8" s="1552"/>
      <c r="Q8" s="1534" t="s">
        <v>272</v>
      </c>
      <c r="R8" s="134" t="s">
        <v>273</v>
      </c>
      <c r="S8" s="1535" t="s">
        <v>358</v>
      </c>
      <c r="T8" s="1536"/>
      <c r="U8" s="134" t="s">
        <v>273</v>
      </c>
      <c r="V8" s="103"/>
      <c r="W8" s="1536" t="s">
        <v>274</v>
      </c>
      <c r="X8" s="1536"/>
      <c r="Y8" s="1536"/>
      <c r="Z8" s="1536"/>
      <c r="AA8" s="1536"/>
      <c r="AB8" s="1536"/>
      <c r="AC8" s="1537" t="s">
        <v>275</v>
      </c>
      <c r="AD8" s="1536" t="s">
        <v>276</v>
      </c>
      <c r="AE8" s="1536"/>
      <c r="AH8" s="37" t="s">
        <v>266</v>
      </c>
      <c r="AI8" s="37" t="s">
        <v>266</v>
      </c>
    </row>
    <row r="9" spans="2:52" ht="62.1" customHeight="1" thickBot="1" x14ac:dyDescent="0.3">
      <c r="C9" s="132" t="s">
        <v>339</v>
      </c>
      <c r="D9" s="811" t="s">
        <v>193</v>
      </c>
      <c r="E9" s="752" t="s">
        <v>34</v>
      </c>
      <c r="F9" s="132" t="s">
        <v>269</v>
      </c>
      <c r="G9" s="752" t="s">
        <v>286</v>
      </c>
      <c r="H9" s="132" t="s">
        <v>270</v>
      </c>
      <c r="I9" s="752" t="s">
        <v>286</v>
      </c>
      <c r="J9" s="132" t="s">
        <v>271</v>
      </c>
      <c r="K9" s="811" t="s">
        <v>271</v>
      </c>
      <c r="L9" s="752" t="s">
        <v>317</v>
      </c>
      <c r="M9" s="132" t="s">
        <v>409</v>
      </c>
      <c r="N9" s="752" t="s">
        <v>410</v>
      </c>
      <c r="O9" s="132" t="s">
        <v>411</v>
      </c>
      <c r="P9" s="752" t="s">
        <v>410</v>
      </c>
      <c r="Q9" s="1534"/>
      <c r="R9" s="750" t="s">
        <v>425</v>
      </c>
      <c r="S9" s="839" t="s">
        <v>361</v>
      </c>
      <c r="T9" s="866" t="s">
        <v>358</v>
      </c>
      <c r="U9" s="750" t="s">
        <v>412</v>
      </c>
      <c r="V9" s="107"/>
      <c r="W9" s="132" t="s">
        <v>384</v>
      </c>
      <c r="X9" s="811" t="s">
        <v>385</v>
      </c>
      <c r="Y9" s="811" t="s">
        <v>386</v>
      </c>
      <c r="Z9" s="811" t="s">
        <v>387</v>
      </c>
      <c r="AA9" s="811" t="s">
        <v>388</v>
      </c>
      <c r="AB9" s="752" t="s">
        <v>294</v>
      </c>
      <c r="AC9" s="1570"/>
      <c r="AD9" s="132" t="s">
        <v>295</v>
      </c>
      <c r="AE9" s="752" t="s">
        <v>296</v>
      </c>
      <c r="AF9" s="43" t="s">
        <v>297</v>
      </c>
      <c r="AG9" s="43" t="s">
        <v>363</v>
      </c>
      <c r="AH9" s="50" t="s">
        <v>298</v>
      </c>
      <c r="AI9" s="50" t="s">
        <v>299</v>
      </c>
      <c r="AJ9" s="101" t="s">
        <v>280</v>
      </c>
      <c r="AK9" s="33" t="s">
        <v>426</v>
      </c>
      <c r="AL9" s="108" t="s">
        <v>300</v>
      </c>
      <c r="AM9" s="108" t="s">
        <v>301</v>
      </c>
      <c r="AN9" s="109"/>
      <c r="AO9" s="108" t="s">
        <v>303</v>
      </c>
      <c r="AP9" s="109"/>
      <c r="AQ9" s="108" t="s">
        <v>300</v>
      </c>
      <c r="AR9" s="108" t="s">
        <v>301</v>
      </c>
      <c r="AZ9" s="811" t="s">
        <v>386</v>
      </c>
    </row>
    <row r="10" spans="2:52" ht="14.4" thickBot="1" x14ac:dyDescent="0.3">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 thickBot="1" x14ac:dyDescent="0.3">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 thickBot="1" x14ac:dyDescent="0.3">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 thickBot="1" x14ac:dyDescent="0.3">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 thickBot="1" x14ac:dyDescent="0.3">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 thickBot="1" x14ac:dyDescent="0.3">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 thickBot="1" x14ac:dyDescent="0.3">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 thickBot="1" x14ac:dyDescent="0.3">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 thickBot="1" x14ac:dyDescent="0.3">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 thickBot="1" x14ac:dyDescent="0.3">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 thickBot="1" x14ac:dyDescent="0.3">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 thickBot="1" x14ac:dyDescent="0.3">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 thickBot="1" x14ac:dyDescent="0.3">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 thickBot="1" x14ac:dyDescent="0.3">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 thickBot="1" x14ac:dyDescent="0.3">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 thickBot="1" x14ac:dyDescent="0.3">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 thickBot="1" x14ac:dyDescent="0.3">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 thickBot="1" x14ac:dyDescent="0.3">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 thickBot="1" x14ac:dyDescent="0.3">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 thickBot="1" x14ac:dyDescent="0.3">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 thickBot="1" x14ac:dyDescent="0.3">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 thickBot="1" x14ac:dyDescent="0.3">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 thickBot="1" x14ac:dyDescent="0.3">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 thickBot="1" x14ac:dyDescent="0.3">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 thickBot="1" x14ac:dyDescent="0.3">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 thickBot="1" x14ac:dyDescent="0.3">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 thickBot="1" x14ac:dyDescent="0.3">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 thickBot="1" x14ac:dyDescent="0.3">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 thickBot="1" x14ac:dyDescent="0.3">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 thickBot="1" x14ac:dyDescent="0.3">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 thickBot="1" x14ac:dyDescent="0.3">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 thickBot="1" x14ac:dyDescent="0.3">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 thickBot="1" x14ac:dyDescent="0.3">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 thickBot="1" x14ac:dyDescent="0.3">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 thickBot="1" x14ac:dyDescent="0.3">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 thickBot="1" x14ac:dyDescent="0.3">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 thickBot="1" x14ac:dyDescent="0.3">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 thickBot="1" x14ac:dyDescent="0.3">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 thickBot="1" x14ac:dyDescent="0.3">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 thickBot="1" x14ac:dyDescent="0.3">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 thickBot="1" x14ac:dyDescent="0.3">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 thickBot="1" x14ac:dyDescent="0.3">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 thickBot="1" x14ac:dyDescent="0.3">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 thickBot="1" x14ac:dyDescent="0.3">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 thickBot="1" x14ac:dyDescent="0.3">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 thickBot="1" x14ac:dyDescent="0.3">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 thickBot="1" x14ac:dyDescent="0.3">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 thickBot="1" x14ac:dyDescent="0.3">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 thickBot="1" x14ac:dyDescent="0.3">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 thickBot="1" x14ac:dyDescent="0.3">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 thickBot="1" x14ac:dyDescent="0.3">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 thickBot="1" x14ac:dyDescent="0.3">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 thickBot="1" x14ac:dyDescent="0.3">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 thickBot="1" x14ac:dyDescent="0.3">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 thickBot="1" x14ac:dyDescent="0.3">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 thickBot="1" x14ac:dyDescent="0.3">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 thickBot="1" x14ac:dyDescent="0.3">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 thickBot="1" x14ac:dyDescent="0.3">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 thickBot="1" x14ac:dyDescent="0.3">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 thickBot="1" x14ac:dyDescent="0.3">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 thickBot="1" x14ac:dyDescent="0.3">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 thickBot="1" x14ac:dyDescent="0.3">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 thickBot="1" x14ac:dyDescent="0.3">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 thickBot="1" x14ac:dyDescent="0.3">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 thickBot="1" x14ac:dyDescent="0.3">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 thickBot="1" x14ac:dyDescent="0.3">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 thickBot="1" x14ac:dyDescent="0.3">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 thickBot="1" x14ac:dyDescent="0.3">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 thickBot="1" x14ac:dyDescent="0.3">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 thickBot="1" x14ac:dyDescent="0.3">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 thickBot="1" x14ac:dyDescent="0.3">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 thickBot="1" x14ac:dyDescent="0.3">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 thickBot="1" x14ac:dyDescent="0.3">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 thickBot="1" x14ac:dyDescent="0.3">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 thickBot="1" x14ac:dyDescent="0.3">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 thickBot="1" x14ac:dyDescent="0.3">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 thickBot="1" x14ac:dyDescent="0.3">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 thickBot="1" x14ac:dyDescent="0.3">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 thickBot="1" x14ac:dyDescent="0.3">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 thickBot="1" x14ac:dyDescent="0.3">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 thickBot="1" x14ac:dyDescent="0.3">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 thickBot="1" x14ac:dyDescent="0.3">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 thickBot="1" x14ac:dyDescent="0.3">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 thickBot="1" x14ac:dyDescent="0.3">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 thickBot="1" x14ac:dyDescent="0.3">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 thickBot="1" x14ac:dyDescent="0.3">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 thickBot="1" x14ac:dyDescent="0.3">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 thickBot="1" x14ac:dyDescent="0.3">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 thickBot="1" x14ac:dyDescent="0.3">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 thickBot="1" x14ac:dyDescent="0.3">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 thickBot="1" x14ac:dyDescent="0.3">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 thickBot="1" x14ac:dyDescent="0.3">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 thickBot="1" x14ac:dyDescent="0.3">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 thickBot="1" x14ac:dyDescent="0.3">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 thickBot="1" x14ac:dyDescent="0.3">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 thickBot="1" x14ac:dyDescent="0.3">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 thickBot="1" x14ac:dyDescent="0.3">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 thickBot="1" x14ac:dyDescent="0.3">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 thickBot="1" x14ac:dyDescent="0.3">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 thickBot="1" x14ac:dyDescent="0.3">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 thickBot="1" x14ac:dyDescent="0.3">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 thickBot="1" x14ac:dyDescent="0.3">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 thickBot="1" x14ac:dyDescent="0.3">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 thickBot="1" x14ac:dyDescent="0.3">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 thickBot="1" x14ac:dyDescent="0.3">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 thickBot="1" x14ac:dyDescent="0.3">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 thickBot="1" x14ac:dyDescent="0.3">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 thickBot="1" x14ac:dyDescent="0.3">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 thickBot="1" x14ac:dyDescent="0.3">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 thickBot="1" x14ac:dyDescent="0.3">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 thickBot="1" x14ac:dyDescent="0.3">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 thickBot="1" x14ac:dyDescent="0.3">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 thickBot="1" x14ac:dyDescent="0.3">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 thickBot="1" x14ac:dyDescent="0.3">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 thickBot="1" x14ac:dyDescent="0.3">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 thickBot="1" x14ac:dyDescent="0.3">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 thickBot="1" x14ac:dyDescent="0.3">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 thickBot="1" x14ac:dyDescent="0.3">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 thickBot="1" x14ac:dyDescent="0.3">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 thickBot="1" x14ac:dyDescent="0.3">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 thickBot="1" x14ac:dyDescent="0.3">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 thickBot="1" x14ac:dyDescent="0.3">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 thickBot="1" x14ac:dyDescent="0.3">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 thickBot="1" x14ac:dyDescent="0.3">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 thickBot="1" x14ac:dyDescent="0.3">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 thickBot="1" x14ac:dyDescent="0.3">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 thickBot="1" x14ac:dyDescent="0.3">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 thickBot="1" x14ac:dyDescent="0.3">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 thickBot="1" x14ac:dyDescent="0.3">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 thickBot="1" x14ac:dyDescent="0.3">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 thickBot="1" x14ac:dyDescent="0.3">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 thickBot="1" x14ac:dyDescent="0.3">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 thickBot="1" x14ac:dyDescent="0.3">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 thickBot="1" x14ac:dyDescent="0.3">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 thickBot="1" x14ac:dyDescent="0.3">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 thickBot="1" x14ac:dyDescent="0.3">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 thickBot="1" x14ac:dyDescent="0.3">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 thickBot="1" x14ac:dyDescent="0.3">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 thickBot="1" x14ac:dyDescent="0.3">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 thickBot="1" x14ac:dyDescent="0.3">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 thickBot="1" x14ac:dyDescent="0.3">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 thickBot="1" x14ac:dyDescent="0.3">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 thickBot="1" x14ac:dyDescent="0.3">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 thickBot="1" x14ac:dyDescent="0.3">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 thickBot="1" x14ac:dyDescent="0.3">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 thickBot="1" x14ac:dyDescent="0.3">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 thickBot="1" x14ac:dyDescent="0.3">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 thickBot="1" x14ac:dyDescent="0.3">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 thickBot="1" x14ac:dyDescent="0.3">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 thickBot="1" x14ac:dyDescent="0.3">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 thickBot="1" x14ac:dyDescent="0.3">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 thickBot="1" x14ac:dyDescent="0.3">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 thickBot="1" x14ac:dyDescent="0.3">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 thickBot="1" x14ac:dyDescent="0.3">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 thickBot="1" x14ac:dyDescent="0.3">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 thickBot="1" x14ac:dyDescent="0.3">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 thickBot="1" x14ac:dyDescent="0.3">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 thickBot="1" x14ac:dyDescent="0.3">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 thickBot="1" x14ac:dyDescent="0.3">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 thickBot="1" x14ac:dyDescent="0.3">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 thickBot="1" x14ac:dyDescent="0.3">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 thickBot="1" x14ac:dyDescent="0.3">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 thickBot="1" x14ac:dyDescent="0.3">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 thickBot="1" x14ac:dyDescent="0.3">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 thickBot="1" x14ac:dyDescent="0.3">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 thickBot="1" x14ac:dyDescent="0.3">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 thickBot="1" x14ac:dyDescent="0.3">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 thickBot="1" x14ac:dyDescent="0.3">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 thickBot="1" x14ac:dyDescent="0.3">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 thickBot="1" x14ac:dyDescent="0.3">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 thickBot="1" x14ac:dyDescent="0.3">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 thickBot="1" x14ac:dyDescent="0.3">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 thickBot="1" x14ac:dyDescent="0.3">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 thickBot="1" x14ac:dyDescent="0.3">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 thickBot="1" x14ac:dyDescent="0.3">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 thickBot="1" x14ac:dyDescent="0.3">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 thickBot="1" x14ac:dyDescent="0.3">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 thickBot="1" x14ac:dyDescent="0.3">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 thickBot="1" x14ac:dyDescent="0.3">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 thickBot="1" x14ac:dyDescent="0.3">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 thickBot="1" x14ac:dyDescent="0.3">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 thickBot="1" x14ac:dyDescent="0.3">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 thickBot="1" x14ac:dyDescent="0.3">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 thickBot="1" x14ac:dyDescent="0.3">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 thickBot="1" x14ac:dyDescent="0.3">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 thickBot="1" x14ac:dyDescent="0.3">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 thickBot="1" x14ac:dyDescent="0.3">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 thickBot="1" x14ac:dyDescent="0.3">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 thickBot="1" x14ac:dyDescent="0.3">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 thickBot="1" x14ac:dyDescent="0.3">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 thickBot="1" x14ac:dyDescent="0.3">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 thickBot="1" x14ac:dyDescent="0.3">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 thickBot="1" x14ac:dyDescent="0.3">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 thickBot="1" x14ac:dyDescent="0.3">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 thickBot="1" x14ac:dyDescent="0.3">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 thickBot="1" x14ac:dyDescent="0.3">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 thickBot="1" x14ac:dyDescent="0.3">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 thickBot="1" x14ac:dyDescent="0.3">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 thickBot="1" x14ac:dyDescent="0.3">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 thickBot="1" x14ac:dyDescent="0.3">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 thickBot="1" x14ac:dyDescent="0.3">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 thickBot="1" x14ac:dyDescent="0.3">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 thickBot="1" x14ac:dyDescent="0.3">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 thickBot="1" x14ac:dyDescent="0.3">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 thickBot="1" x14ac:dyDescent="0.3">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 thickBot="1" x14ac:dyDescent="0.3">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 thickBot="1" x14ac:dyDescent="0.3">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 thickBot="1" x14ac:dyDescent="0.3">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 thickBot="1" x14ac:dyDescent="0.3">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 thickBot="1" x14ac:dyDescent="0.3">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 thickBot="1" x14ac:dyDescent="0.3">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 thickBot="1" x14ac:dyDescent="0.3">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 thickBot="1" x14ac:dyDescent="0.3">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 thickBot="1" x14ac:dyDescent="0.3">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 thickBot="1" x14ac:dyDescent="0.3">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 thickBot="1" x14ac:dyDescent="0.3">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 thickBot="1" x14ac:dyDescent="0.3">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 thickBot="1" x14ac:dyDescent="0.3">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 thickBot="1" x14ac:dyDescent="0.3">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 thickBot="1" x14ac:dyDescent="0.3">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 thickBot="1" x14ac:dyDescent="0.3">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 thickBot="1" x14ac:dyDescent="0.3">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 thickBot="1" x14ac:dyDescent="0.3">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 thickBot="1" x14ac:dyDescent="0.3">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 thickBot="1" x14ac:dyDescent="0.3">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 thickBot="1" x14ac:dyDescent="0.3">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 thickBot="1" x14ac:dyDescent="0.3">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 thickBot="1" x14ac:dyDescent="0.3">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 thickBot="1" x14ac:dyDescent="0.3">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 thickBot="1" x14ac:dyDescent="0.3">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 thickBot="1" x14ac:dyDescent="0.3">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 thickBot="1" x14ac:dyDescent="0.3">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 thickBot="1" x14ac:dyDescent="0.3">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 thickBot="1" x14ac:dyDescent="0.3">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 thickBot="1" x14ac:dyDescent="0.3">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 thickBot="1" x14ac:dyDescent="0.3">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 thickBot="1" x14ac:dyDescent="0.3">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 thickBot="1" x14ac:dyDescent="0.3">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 thickBot="1" x14ac:dyDescent="0.3">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 thickBot="1" x14ac:dyDescent="0.3">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 thickBot="1" x14ac:dyDescent="0.3">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 thickBot="1" x14ac:dyDescent="0.3">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 thickBot="1" x14ac:dyDescent="0.3">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 thickBot="1" x14ac:dyDescent="0.3">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 thickBot="1" x14ac:dyDescent="0.3">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 thickBot="1" x14ac:dyDescent="0.3">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 thickBot="1" x14ac:dyDescent="0.3">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 thickBot="1" x14ac:dyDescent="0.3">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
      <c r="B258" s="30"/>
      <c r="C258" s="30"/>
      <c r="D258" s="859"/>
      <c r="E258" s="412">
        <f>IF('Detailed Results'!K164&gt;0,"Error ▲",SUM(E10:E257))</f>
        <v>0</v>
      </c>
      <c r="P258" s="1530"/>
      <c r="Q258" s="1530"/>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3.8" x14ac:dyDescent="0.25">
      <c r="B259" s="30"/>
      <c r="C259" s="30"/>
      <c r="V259" s="133"/>
      <c r="W259" s="133"/>
      <c r="X259" s="133"/>
      <c r="Y259" s="133"/>
      <c r="Z259" s="133"/>
      <c r="AA259" s="133"/>
      <c r="AB259" s="133"/>
      <c r="AC259" s="133"/>
      <c r="AZ259" s="133"/>
    </row>
    <row r="260" spans="2:52" ht="13.8" x14ac:dyDescent="0.25"/>
    <row r="261" spans="2:52" ht="13.8" x14ac:dyDescent="0.25"/>
    <row r="262" spans="2:52" ht="13.8" x14ac:dyDescent="0.25"/>
    <row r="263" spans="2:52" ht="13.8" x14ac:dyDescent="0.25"/>
    <row r="264" spans="2:52" ht="13.8" x14ac:dyDescent="0.25"/>
    <row r="265" spans="2:52" ht="13.8" x14ac:dyDescent="0.25"/>
    <row r="266" spans="2:52" ht="13.8" x14ac:dyDescent="0.25"/>
    <row r="267" spans="2:52" ht="13.8" x14ac:dyDescent="0.25"/>
    <row r="268" spans="2:52" ht="13.8" x14ac:dyDescent="0.25"/>
    <row r="269" spans="2:52" ht="13.8" x14ac:dyDescent="0.25"/>
    <row r="270" spans="2:52" ht="13.8" x14ac:dyDescent="0.25"/>
    <row r="271" spans="2:52" ht="13.8" x14ac:dyDescent="0.25"/>
    <row r="272" spans="2:52" ht="13.8" x14ac:dyDescent="0.25"/>
  </sheetData>
  <sheetProtection algorithmName="SHA-512" hashValue="7CcmCuzZGsifJSfD9MvcYAWZx2aNuO211mfcdw/1gGSchVerPC6WcYF0tVjyJgt0wK+4tAVXSIQ1ngfCIN9NJg==" saltValue="b6FxX+Jw+JnzNt/gk3Xu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W4:AB5"/>
    <mergeCell ref="P258:Q258"/>
    <mergeCell ref="AD8:AE8"/>
    <mergeCell ref="J8:L8"/>
    <mergeCell ref="M8:N8"/>
    <mergeCell ref="O8:P8"/>
    <mergeCell ref="Q8:Q9"/>
    <mergeCell ref="W8:AB8"/>
    <mergeCell ref="O2:V4"/>
    <mergeCell ref="S8:T8"/>
    <mergeCell ref="AC8:AC9"/>
    <mergeCell ref="B2:E2"/>
    <mergeCell ref="B3:E4"/>
    <mergeCell ref="C8:E8"/>
    <mergeCell ref="F8:G8"/>
    <mergeCell ref="H8:I8"/>
    <mergeCell ref="H2:M2"/>
    <mergeCell ref="K3:M3"/>
    <mergeCell ref="K4:M4"/>
    <mergeCell ref="H3:J3"/>
    <mergeCell ref="H4:J4"/>
    <mergeCell ref="H5:J5"/>
    <mergeCell ref="K5:M5"/>
  </mergeCells>
  <conditionalFormatting sqref="E258">
    <cfRule type="containsText" dxfId="91" priority="25" operator="containsText" text="▲">
      <formula>NOT(ISERROR(SEARCH("▲",E258)))</formula>
    </cfRule>
  </conditionalFormatting>
  <conditionalFormatting sqref="I10:I257">
    <cfRule type="containsText" dxfId="90" priority="43" operator="containsText" text="Not possible">
      <formula>NOT(ISERROR(SEARCH("Not possible",I10)))</formula>
    </cfRule>
  </conditionalFormatting>
  <conditionalFormatting sqref="K3:K4">
    <cfRule type="containsText" dxfId="89" priority="38" operator="containsText" text="Error">
      <formula>NOT(ISERROR(SEARCH("Error",K3)))</formula>
    </cfRule>
    <cfRule type="containsText" dxfId="88" priority="39" operator="containsText" text="Check">
      <formula>NOT(ISERROR(SEARCH("Check",K3)))</formula>
    </cfRule>
  </conditionalFormatting>
  <conditionalFormatting sqref="K5">
    <cfRule type="containsText" dxfId="87" priority="66" operator="containsText" text="Yes">
      <formula>NOT(ISERROR(SEARCH("Yes",K5)))</formula>
    </cfRule>
    <cfRule type="containsText" dxfId="86" priority="65" operator="containsText" text="No">
      <formula>NOT(ISERROR(SEARCH("No",K5)))</formula>
    </cfRule>
  </conditionalFormatting>
  <conditionalFormatting sqref="K3:M5">
    <cfRule type="containsText" dxfId="85" priority="1" operator="containsText" text="N/A">
      <formula>NOT(ISERROR(SEARCH("N/A",K3)))</formula>
    </cfRule>
  </conditionalFormatting>
  <conditionalFormatting sqref="K4:M4">
    <cfRule type="cellIs" dxfId="84" priority="37" operator="equal">
      <formula>0</formula>
    </cfRule>
    <cfRule type="cellIs" dxfId="81" priority="40" operator="lessThan">
      <formula>0</formula>
    </cfRule>
  </conditionalFormatting>
  <conditionalFormatting sqref="K10:Q257">
    <cfRule type="containsText" dxfId="80" priority="81" operator="containsText" text="Spatial">
      <formula>NOT(ISERROR(SEARCH("Spatial",K10)))</formula>
    </cfRule>
  </conditionalFormatting>
  <conditionalFormatting sqref="O2:V4">
    <cfRule type="containsText" dxfId="79" priority="67" operator="containsText" text="Check">
      <formula>NOT(ISERROR(SEARCH("Check",O2)))</formula>
    </cfRule>
  </conditionalFormatting>
  <conditionalFormatting sqref="Q10:Q257">
    <cfRule type="containsText" dxfId="78" priority="80" operator="containsText" text="Restore">
      <formula>NOT(ISERROR(SEARCH("Restore",Q10)))</formula>
    </cfRule>
    <cfRule type="containsText" dxfId="77" priority="32" operator="containsText" text="Bespoke">
      <formula>NOT(ISERROR(SEARCH("Bespoke",Q10)))</formula>
    </cfRule>
  </conditionalFormatting>
  <conditionalFormatting sqref="S10:S257">
    <cfRule type="containsText" dxfId="76" priority="64" operator="containsText" text="Existing Value Required">
      <formula>NOT(ISERROR(SEARCH("Existing Value Required",S10)))</formula>
    </cfRule>
    <cfRule type="containsText" dxfId="75" priority="63" operator="containsText" text="Existing Value Not Required">
      <formula>NOT(ISERROR(SEARCH("Existing Value Not Required",S10)))</formula>
    </cfRule>
  </conditionalFormatting>
  <conditionalFormatting sqref="S10:T257">
    <cfRule type="containsText" dxfId="74" priority="60" operator="containsText" text="Error">
      <formula>NOT(ISERROR(SEARCH("Error",S10)))</formula>
    </cfRule>
    <cfRule type="containsText" dxfId="73" priority="59" operator="containsText" text="Check">
      <formula>NOT(ISERROR(SEARCH("Check",S10)))</formula>
    </cfRule>
  </conditionalFormatting>
  <conditionalFormatting sqref="T10:T257">
    <cfRule type="containsText" dxfId="72" priority="58" operator="containsText" text="Spatial">
      <formula>NOT(ISERROR(SEARCH("Spatial",T10)))</formula>
    </cfRule>
  </conditionalFormatting>
  <conditionalFormatting sqref="U10:U257">
    <cfRule type="containsText" dxfId="71" priority="31" operator="containsText" text="⚠">
      <formula>NOT(ISERROR(SEARCH("⚠",U10)))</formula>
    </cfRule>
  </conditionalFormatting>
  <conditionalFormatting sqref="U258">
    <cfRule type="containsText" dxfId="70" priority="26" operator="containsText" text="▲">
      <formula>NOT(ISERROR(SEARCH("▲",U258)))</formula>
    </cfRule>
  </conditionalFormatting>
  <conditionalFormatting sqref="W4 V5">
    <cfRule type="containsText" dxfId="69" priority="74" operator="containsText" text="Check">
      <formula>NOT(ISERROR(SEARCH("Check",V4)))</formula>
    </cfRule>
  </conditionalFormatting>
  <conditionalFormatting sqref="W258:AB258">
    <cfRule type="containsText" dxfId="67" priority="27" operator="containsText" text="▲">
      <formula>NOT(ISERROR(SEARCH("▲",W258)))</formula>
    </cfRule>
  </conditionalFormatting>
  <conditionalFormatting sqref="Y10:Y257">
    <cfRule type="containsText" dxfId="66" priority="41" operator="containsText" text="Error">
      <formula>NOT(ISERROR(SEARCH("Error",Y10)))</formula>
    </cfRule>
  </conditionalFormatting>
  <conditionalFormatting sqref="Y258:Z258">
    <cfRule type="containsText" dxfId="65" priority="42" operator="containsText" text="Error">
      <formula>NOT(ISERROR(SEARCH("Error",Y258)))</formula>
    </cfRule>
  </conditionalFormatting>
  <conditionalFormatting sqref="AA10:AA257">
    <cfRule type="containsText" dxfId="64" priority="30" operator="containsText" text="⚠">
      <formula>NOT(ISERROR(SEARCH("⚠",AA10)))</formula>
    </cfRule>
    <cfRule type="containsText" dxfId="63" priority="77" operator="containsText" text="Error">
      <formula>NOT(ISERROR(SEARCH("Error",AA10)))</formula>
    </cfRule>
  </conditionalFormatting>
  <conditionalFormatting sqref="AB1:AB1048576">
    <cfRule type="containsText" dxfId="62" priority="34" operator="containsText" text="▲">
      <formula>NOT(ISERROR(SEARCH("▲",AB1)))</formula>
    </cfRule>
    <cfRule type="containsText" dxfId="61" priority="33" operator="containsText" text="✓">
      <formula>NOT(ISERROR(SEARCH("✓",AB1)))</formula>
    </cfRule>
  </conditionalFormatting>
  <conditionalFormatting sqref="AB10:AC258">
    <cfRule type="containsText" dxfId="60" priority="75" operator="containsText" text="Check">
      <formula>NOT(ISERROR(SEARCH("Check",AB10)))</formula>
    </cfRule>
    <cfRule type="containsText" dxfId="59" priority="76" operator="containsText" text="Error">
      <formula>NOT(ISERROR(SEARCH("Error",AB10)))</formula>
    </cfRule>
  </conditionalFormatting>
  <conditionalFormatting sqref="AC1:AC1048576">
    <cfRule type="containsText" dxfId="58" priority="36" operator="containsText" text="No">
      <formula>NOT(ISERROR(SEARCH("No",AC1)))</formula>
    </cfRule>
    <cfRule type="containsText" dxfId="57" priority="35" operator="containsText" text="Yes">
      <formula>NOT(ISERROR(SEARCH("Yes",AC1)))</formula>
    </cfRule>
  </conditionalFormatting>
  <conditionalFormatting sqref="AH10:AH257">
    <cfRule type="cellIs" dxfId="56" priority="6" operator="equal">
      <formula>0</formula>
    </cfRule>
  </conditionalFormatting>
  <conditionalFormatting sqref="AH10:AI257">
    <cfRule type="cellIs" dxfId="55" priority="7" operator="equal">
      <formula>"None"</formula>
    </cfRule>
    <cfRule type="cellIs" dxfId="54" priority="11" operator="greaterThan">
      <formula>0</formula>
    </cfRule>
    <cfRule type="cellIs" dxfId="53" priority="8" operator="equal">
      <formula>""</formula>
    </cfRule>
  </conditionalFormatting>
  <conditionalFormatting sqref="AZ10:AZ258">
    <cfRule type="containsText" dxfId="52" priority="4" operator="containsText" text="Error">
      <formula>NOT(ISERROR(SEARCH("Error",AZ10)))</formula>
    </cfRule>
  </conditionalFormatting>
  <conditionalFormatting sqref="AZ258">
    <cfRule type="containsText" dxfId="51" priority="2"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1" operator="lessThan" id="{B0CC3A41-3BA3-464F-80F6-EA546015E284}">
            <xm:f>Start!$F$22</xm:f>
            <x14:dxf>
              <font>
                <color rgb="FF383745"/>
              </font>
              <fill>
                <patternFill>
                  <bgColor rgb="FFFFC000"/>
                </patternFill>
              </fill>
            </x14:dxf>
          </x14:cfRule>
          <x14:cfRule type="cellIs" priority="482"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9"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3"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0.77734375" style="30" customWidth="1"/>
    <col min="3" max="3" width="47.21875" style="30" customWidth="1"/>
    <col min="4" max="4" width="10.44140625" style="30" customWidth="1"/>
    <col min="5" max="5" width="17.44140625" style="30" customWidth="1"/>
    <col min="6" max="6" width="13.21875" style="30" customWidth="1"/>
    <col min="7" max="7" width="12.5546875" style="30" bestFit="1" customWidth="1"/>
    <col min="8" max="8" width="12.5546875" style="30" customWidth="1"/>
    <col min="9" max="9" width="33.77734375" style="30" customWidth="1"/>
    <col min="10" max="10" width="15.44140625" style="30" customWidth="1"/>
    <col min="11" max="11" width="12.21875" style="30" customWidth="1"/>
    <col min="12" max="14" width="17.77734375" style="30" customWidth="1"/>
    <col min="15" max="15" width="34.5546875" style="30" customWidth="1"/>
    <col min="16" max="16" width="17.77734375" style="30" customWidth="1"/>
    <col min="17" max="17" width="15.21875" style="30" customWidth="1"/>
    <col min="18" max="18" width="14.77734375" style="30" customWidth="1"/>
    <col min="19" max="19" width="26.21875" style="30" customWidth="1"/>
    <col min="20" max="20" width="13.44140625" style="30" customWidth="1"/>
    <col min="21" max="21" width="12.21875" style="30" customWidth="1"/>
    <col min="22" max="22" width="16.44140625" style="30" customWidth="1"/>
    <col min="23" max="23" width="12.44140625" style="30" customWidth="1"/>
    <col min="24" max="24" width="17" style="30" customWidth="1"/>
    <col min="25" max="25" width="12.5546875" style="30" customWidth="1"/>
    <col min="26" max="26" width="42.77734375" style="30" customWidth="1"/>
    <col min="27" max="27" width="12.77734375" style="30" customWidth="1"/>
    <col min="28" max="28" width="12" style="30" hidden="1" customWidth="1"/>
    <col min="29" max="29" width="17.21875" style="30" customWidth="1"/>
    <col min="30" max="31" width="34.77734375" style="30" customWidth="1"/>
    <col min="32" max="32" width="12.5546875" style="30" customWidth="1"/>
    <col min="33" max="33" width="12" style="30" customWidth="1"/>
    <col min="34" max="35" width="8.77734375" style="30" customWidth="1"/>
    <col min="36" max="36" width="8.77734375" style="30" hidden="1" customWidth="1"/>
    <col min="37" max="37" width="5.77734375" style="30" hidden="1" customWidth="1"/>
    <col min="38" max="38" width="15.44140625" style="30" hidden="1" customWidth="1"/>
    <col min="39" max="16384" width="8.77734375" style="30" hidden="1"/>
  </cols>
  <sheetData>
    <row r="1" spans="2:38" ht="14.4" thickBot="1" x14ac:dyDescent="0.3"/>
    <row r="2" spans="2:38" ht="18.600000000000001" customHeight="1" thickBot="1" x14ac:dyDescent="0.3">
      <c r="B2" s="1600" t="str">
        <f>CONCATENATE("Project Name:", " ", Start!F12, "     ", "Map Reference:", " ", Start!K66)</f>
        <v xml:space="preserve">Project Name: Broadfield Park Slopes (‘The Slopes’), The Esplanade, Rochdale, OL16 1AQ     Map Reference: </v>
      </c>
      <c r="C2" s="1603"/>
      <c r="D2" s="1601"/>
      <c r="F2" s="1595" t="s">
        <v>404</v>
      </c>
      <c r="G2" s="1607"/>
      <c r="H2" s="1607"/>
      <c r="I2" s="1607"/>
      <c r="J2" s="1607"/>
      <c r="K2" s="1607"/>
      <c r="L2" s="1607"/>
      <c r="M2" s="1607"/>
      <c r="N2" s="1607"/>
      <c r="O2" s="1596"/>
      <c r="P2" s="1463" t="str">
        <f>IF(OR(COUNTIF(L$12:$L259,"*30+*")&gt;0,COUNTIF(P$12:$P259,"*30+*")&gt;0),"Note; Habitat selected has a time to target condition greater than 30 years. Non standard agreement may be required.","")</f>
        <v/>
      </c>
      <c r="Q2" s="1463"/>
      <c r="R2" s="1463"/>
      <c r="S2" s="1463"/>
      <c r="T2" s="1463"/>
      <c r="U2" s="1463"/>
      <c r="V2" s="1613" t="str" cm="1">
        <f t="array" ref="V2">IF(OR(G12:G259 = "Fairly Good", G12:G259 = "Fairly Poor"),"A 'Fairly' Category has been used - check evidence to ensure this is appropriate ⚠", "")</f>
        <v/>
      </c>
      <c r="W2" s="1613"/>
      <c r="X2" s="1613"/>
      <c r="Y2" s="1613"/>
      <c r="Z2" s="1613"/>
      <c r="AA2" s="1613"/>
      <c r="AB2" s="1613"/>
      <c r="AC2" s="550"/>
    </row>
    <row r="3" spans="2:38" ht="15.6" customHeight="1" thickBot="1" x14ac:dyDescent="0.3">
      <c r="B3" s="1557" t="str">
        <f ca="1">MID(CELL("filename",A1),FIND("]",CELL("filename",A1))+1,256)</f>
        <v>F-2 Off-Site WaterC' Creation</v>
      </c>
      <c r="C3" s="1558"/>
      <c r="D3" s="1559"/>
      <c r="F3" s="1505" t="s">
        <v>263</v>
      </c>
      <c r="G3" s="1506"/>
      <c r="H3" s="1506"/>
      <c r="I3" s="1506"/>
      <c r="J3" s="1506"/>
      <c r="K3" s="1506"/>
      <c r="L3" s="1501">
        <f>'Headline Results'!H49</f>
        <v>0</v>
      </c>
      <c r="M3" s="1501"/>
      <c r="N3" s="1501"/>
      <c r="O3" s="1502"/>
      <c r="P3" s="1463"/>
      <c r="Q3" s="1463"/>
      <c r="R3" s="1463"/>
      <c r="S3" s="1463"/>
      <c r="T3" s="1463"/>
      <c r="U3" s="1463"/>
      <c r="V3" s="1613"/>
      <c r="W3" s="1613"/>
      <c r="X3" s="1613"/>
      <c r="Y3" s="1613"/>
      <c r="Z3" s="1613"/>
      <c r="AA3" s="1613"/>
      <c r="AB3" s="1613"/>
      <c r="AC3" s="550"/>
    </row>
    <row r="4" spans="2:38" ht="16.5" customHeight="1" thickBot="1" x14ac:dyDescent="0.3">
      <c r="B4" s="1557"/>
      <c r="C4" s="1558"/>
      <c r="D4" s="1559"/>
      <c r="F4" s="1583" t="s">
        <v>265</v>
      </c>
      <c r="G4" s="1584"/>
      <c r="H4" s="1584"/>
      <c r="I4" s="1584"/>
      <c r="J4" s="1584"/>
      <c r="K4" s="1584"/>
      <c r="L4" s="1577">
        <f>'Headline Results'!H53</f>
        <v>0</v>
      </c>
      <c r="M4" s="1577"/>
      <c r="N4" s="1577"/>
      <c r="O4" s="1578"/>
      <c r="P4" s="1463"/>
      <c r="Q4" s="1463"/>
      <c r="R4" s="1463"/>
      <c r="S4" s="1463"/>
      <c r="T4" s="1463"/>
      <c r="U4" s="1463"/>
      <c r="V4" s="1613"/>
      <c r="W4" s="1613"/>
      <c r="X4" s="1613"/>
      <c r="Y4" s="1613"/>
      <c r="Z4" s="1613"/>
      <c r="AA4" s="1613"/>
      <c r="AB4" s="1613"/>
      <c r="AC4" s="550"/>
    </row>
    <row r="5" spans="2:38" ht="26.55" customHeight="1" thickBot="1" x14ac:dyDescent="0.3">
      <c r="F5" s="1582" t="s">
        <v>267</v>
      </c>
      <c r="G5" s="1579"/>
      <c r="H5" s="1579"/>
      <c r="I5" s="1579"/>
      <c r="J5" s="1579"/>
      <c r="K5" s="1579"/>
      <c r="L5" s="1579" t="str" cm="1">
        <f t="array" ref="L5">IF(OR('Trading Summary WaterC''s'!G5:H8="No ▲"), "No - check trading summary ▲", "Yes ✓")</f>
        <v>Yes ✓</v>
      </c>
      <c r="M5" s="1579"/>
      <c r="N5" s="1579"/>
      <c r="O5" s="1580"/>
      <c r="P5" s="1463"/>
      <c r="Q5" s="1463"/>
      <c r="R5" s="1463"/>
      <c r="S5" s="1463"/>
      <c r="T5" s="1463"/>
      <c r="U5" s="1463"/>
      <c r="V5" s="1613"/>
      <c r="W5" s="1613"/>
      <c r="X5" s="1613"/>
      <c r="Y5" s="1613"/>
      <c r="Z5" s="1613"/>
      <c r="AA5" s="1613"/>
      <c r="AB5" s="1613"/>
      <c r="AC5" s="550"/>
    </row>
    <row r="6" spans="2:38" ht="23.25" customHeight="1" x14ac:dyDescent="0.25">
      <c r="D6" s="101"/>
      <c r="L6" s="312"/>
      <c r="M6" s="312"/>
      <c r="N6" s="312"/>
      <c r="O6" s="312"/>
      <c r="P6" s="1463"/>
      <c r="Q6" s="1463"/>
      <c r="R6" s="1463"/>
      <c r="S6" s="1463"/>
      <c r="T6" s="1463"/>
      <c r="U6" s="1463"/>
    </row>
    <row r="7" spans="2:38" ht="13.8" x14ac:dyDescent="0.25"/>
    <row r="8" spans="2:38" ht="13.8" x14ac:dyDescent="0.25"/>
    <row r="9" spans="2:38" ht="15.75" customHeight="1" thickBot="1" x14ac:dyDescent="0.3"/>
    <row r="10" spans="2:38" s="33" customFormat="1" ht="29.25" customHeight="1" thickBot="1" x14ac:dyDescent="0.3">
      <c r="B10" s="200"/>
      <c r="C10" s="1573" t="s">
        <v>389</v>
      </c>
      <c r="D10" s="1575"/>
      <c r="E10" s="1573" t="s">
        <v>269</v>
      </c>
      <c r="F10" s="1575"/>
      <c r="G10" s="1573" t="s">
        <v>270</v>
      </c>
      <c r="H10" s="1575"/>
      <c r="I10" s="1552" t="s">
        <v>271</v>
      </c>
      <c r="J10" s="1552"/>
      <c r="K10" s="1552"/>
      <c r="L10" s="1552" t="s">
        <v>314</v>
      </c>
      <c r="M10" s="1552"/>
      <c r="N10" s="1552"/>
      <c r="O10" s="1552"/>
      <c r="P10" s="1552"/>
      <c r="Q10" s="1552"/>
      <c r="R10" s="1573" t="s">
        <v>315</v>
      </c>
      <c r="S10" s="1574"/>
      <c r="T10" s="1574"/>
      <c r="U10" s="1575"/>
      <c r="V10" s="1552" t="s">
        <v>406</v>
      </c>
      <c r="W10" s="1552"/>
      <c r="X10" s="1552" t="s">
        <v>407</v>
      </c>
      <c r="Y10" s="1552"/>
      <c r="Z10" s="1552" t="s">
        <v>358</v>
      </c>
      <c r="AA10" s="1552"/>
      <c r="AB10" s="1534" t="s">
        <v>427</v>
      </c>
      <c r="AC10" s="1534" t="s">
        <v>418</v>
      </c>
      <c r="AD10" s="1315" t="s">
        <v>276</v>
      </c>
      <c r="AE10" s="1313"/>
    </row>
    <row r="11" spans="2:38" s="33" customFormat="1" ht="62.55" customHeight="1" thickBot="1" x14ac:dyDescent="0.3">
      <c r="B11" s="719" t="s">
        <v>339</v>
      </c>
      <c r="C11" s="132" t="s">
        <v>193</v>
      </c>
      <c r="D11" s="752" t="s">
        <v>428</v>
      </c>
      <c r="E11" s="132" t="s">
        <v>269</v>
      </c>
      <c r="F11" s="752" t="s">
        <v>286</v>
      </c>
      <c r="G11" s="132" t="s">
        <v>270</v>
      </c>
      <c r="H11" s="752" t="s">
        <v>286</v>
      </c>
      <c r="I11" s="132" t="s">
        <v>271</v>
      </c>
      <c r="J11" s="811" t="s">
        <v>271</v>
      </c>
      <c r="K11" s="752" t="s">
        <v>317</v>
      </c>
      <c r="L11" s="132" t="s">
        <v>392</v>
      </c>
      <c r="M11" s="811" t="s">
        <v>319</v>
      </c>
      <c r="N11" s="811" t="s">
        <v>320</v>
      </c>
      <c r="O11" s="811" t="s">
        <v>321</v>
      </c>
      <c r="P11" s="811" t="s">
        <v>429</v>
      </c>
      <c r="Q11" s="752" t="s">
        <v>430</v>
      </c>
      <c r="R11" s="132" t="s">
        <v>324</v>
      </c>
      <c r="S11" s="811" t="s">
        <v>325</v>
      </c>
      <c r="T11" s="811" t="s">
        <v>326</v>
      </c>
      <c r="U11" s="752" t="s">
        <v>327</v>
      </c>
      <c r="V11" s="132" t="s">
        <v>409</v>
      </c>
      <c r="W11" s="752" t="s">
        <v>410</v>
      </c>
      <c r="X11" s="132" t="s">
        <v>411</v>
      </c>
      <c r="Y11" s="752" t="s">
        <v>410</v>
      </c>
      <c r="Z11" s="132" t="s">
        <v>361</v>
      </c>
      <c r="AA11" s="752" t="s">
        <v>410</v>
      </c>
      <c r="AB11" s="1534"/>
      <c r="AC11" s="1534"/>
      <c r="AD11" s="126" t="s">
        <v>295</v>
      </c>
      <c r="AE11" s="861" t="s">
        <v>296</v>
      </c>
      <c r="AF11" s="682" t="s">
        <v>297</v>
      </c>
      <c r="AG11" s="682" t="s">
        <v>363</v>
      </c>
      <c r="AL11" s="210" t="s">
        <v>280</v>
      </c>
    </row>
    <row r="12" spans="2:38" ht="13.8" x14ac:dyDescent="0.25">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3.8" x14ac:dyDescent="0.25">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3.8" x14ac:dyDescent="0.25">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3.8" x14ac:dyDescent="0.25">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3.8" x14ac:dyDescent="0.25">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3.8" x14ac:dyDescent="0.25">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3.8" x14ac:dyDescent="0.25">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3.8" x14ac:dyDescent="0.25">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3.8" x14ac:dyDescent="0.25">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3.8" x14ac:dyDescent="0.25">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3.8" x14ac:dyDescent="0.25">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3.8" x14ac:dyDescent="0.25">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3.8" x14ac:dyDescent="0.25">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3.8" x14ac:dyDescent="0.25">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3.8" x14ac:dyDescent="0.25">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3.8" x14ac:dyDescent="0.25">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3.8" x14ac:dyDescent="0.25">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3.8" x14ac:dyDescent="0.25">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3.8" x14ac:dyDescent="0.25">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3.8" x14ac:dyDescent="0.25">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3.8" x14ac:dyDescent="0.25">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3.8" x14ac:dyDescent="0.25">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3.8" x14ac:dyDescent="0.25">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3.8" x14ac:dyDescent="0.25">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3.8" x14ac:dyDescent="0.25">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3.8" x14ac:dyDescent="0.25">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3.8" x14ac:dyDescent="0.25">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3.8" x14ac:dyDescent="0.25">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3.8" x14ac:dyDescent="0.25">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3.8" x14ac:dyDescent="0.25">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3.8" x14ac:dyDescent="0.25">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3.8" x14ac:dyDescent="0.25">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3.8" x14ac:dyDescent="0.25">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3.8" x14ac:dyDescent="0.25">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3.8" x14ac:dyDescent="0.25">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3.8" x14ac:dyDescent="0.25">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3.8" x14ac:dyDescent="0.25">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3.8" x14ac:dyDescent="0.25">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3.8" x14ac:dyDescent="0.25">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3.8" x14ac:dyDescent="0.25">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3.8" x14ac:dyDescent="0.25">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3.8" x14ac:dyDescent="0.25">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3.8" x14ac:dyDescent="0.25">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3.8" x14ac:dyDescent="0.25">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3.8" x14ac:dyDescent="0.25">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3.8" x14ac:dyDescent="0.25">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3.8" x14ac:dyDescent="0.25">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3.8" x14ac:dyDescent="0.25">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3.8" x14ac:dyDescent="0.25">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3.8" x14ac:dyDescent="0.25">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3.8" x14ac:dyDescent="0.25">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3.8" x14ac:dyDescent="0.25">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3.8" x14ac:dyDescent="0.25">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3.8" x14ac:dyDescent="0.25">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3.8" x14ac:dyDescent="0.25">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3.8" x14ac:dyDescent="0.25">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3.8" x14ac:dyDescent="0.25">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3.8" x14ac:dyDescent="0.25">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3.8" x14ac:dyDescent="0.25">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3.8" x14ac:dyDescent="0.25">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3.8" x14ac:dyDescent="0.25">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3.8" x14ac:dyDescent="0.25">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3.8" x14ac:dyDescent="0.25">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3.8" x14ac:dyDescent="0.25">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3.8" x14ac:dyDescent="0.25">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3.8" x14ac:dyDescent="0.25">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3.8" x14ac:dyDescent="0.25">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3.8" x14ac:dyDescent="0.25">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3.8" x14ac:dyDescent="0.25">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3.8" x14ac:dyDescent="0.25">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3.8" x14ac:dyDescent="0.25">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3.8" x14ac:dyDescent="0.25">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3.8" x14ac:dyDescent="0.25">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3.8" x14ac:dyDescent="0.25">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3.8" x14ac:dyDescent="0.25">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3.8" x14ac:dyDescent="0.25">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3.8" x14ac:dyDescent="0.25">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3.8" x14ac:dyDescent="0.25">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3.8" x14ac:dyDescent="0.25">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3.8" x14ac:dyDescent="0.25">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3.8" x14ac:dyDescent="0.25">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3.8" x14ac:dyDescent="0.25">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3.8" x14ac:dyDescent="0.25">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3.8" x14ac:dyDescent="0.25">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3.8" x14ac:dyDescent="0.25">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3.8" x14ac:dyDescent="0.25">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3.8" x14ac:dyDescent="0.25">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3.8" x14ac:dyDescent="0.25">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3.8" x14ac:dyDescent="0.25">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3.8" x14ac:dyDescent="0.25">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3.8" x14ac:dyDescent="0.25">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3.8" x14ac:dyDescent="0.25">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3.8" x14ac:dyDescent="0.25">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3.8" x14ac:dyDescent="0.25">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3.8" x14ac:dyDescent="0.25">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3.8" x14ac:dyDescent="0.25">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3.8" x14ac:dyDescent="0.25">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3.8" x14ac:dyDescent="0.25">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3.8" x14ac:dyDescent="0.25">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3.8" x14ac:dyDescent="0.25">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3.8" x14ac:dyDescent="0.25">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3.8" x14ac:dyDescent="0.25">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3.8" x14ac:dyDescent="0.25">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3.8" x14ac:dyDescent="0.25">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3.8" x14ac:dyDescent="0.25">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3.8" x14ac:dyDescent="0.25">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3.8" x14ac:dyDescent="0.25">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3.8" x14ac:dyDescent="0.25">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3.8" x14ac:dyDescent="0.25">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3.8" x14ac:dyDescent="0.25">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3.8" x14ac:dyDescent="0.25">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3.8" x14ac:dyDescent="0.25">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3.8" x14ac:dyDescent="0.25">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3.8" x14ac:dyDescent="0.25">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3.8" x14ac:dyDescent="0.25">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3.8" x14ac:dyDescent="0.25">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3.8" x14ac:dyDescent="0.25">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3.8" x14ac:dyDescent="0.25">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3.8" x14ac:dyDescent="0.25">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3.8" x14ac:dyDescent="0.25">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3.8" x14ac:dyDescent="0.25">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3.8" x14ac:dyDescent="0.25">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3.8" x14ac:dyDescent="0.25">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3.8" x14ac:dyDescent="0.25">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3.8" x14ac:dyDescent="0.25">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3.8" x14ac:dyDescent="0.25">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3.8" x14ac:dyDescent="0.25">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3.8" x14ac:dyDescent="0.25">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3.8" x14ac:dyDescent="0.25">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3.8" x14ac:dyDescent="0.25">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3.8" x14ac:dyDescent="0.25">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3.8" x14ac:dyDescent="0.25">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3.8" x14ac:dyDescent="0.25">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3.8" x14ac:dyDescent="0.25">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3.8" x14ac:dyDescent="0.25">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3.8" x14ac:dyDescent="0.25">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3.8" x14ac:dyDescent="0.25">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3.8" x14ac:dyDescent="0.25">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3.8" x14ac:dyDescent="0.25">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3.8" x14ac:dyDescent="0.25">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3.8" x14ac:dyDescent="0.25">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3.8" x14ac:dyDescent="0.25">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3.8" x14ac:dyDescent="0.25">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3.8" x14ac:dyDescent="0.25">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3.8" x14ac:dyDescent="0.25">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3.8" x14ac:dyDescent="0.25">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3.8" x14ac:dyDescent="0.25">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3.8" x14ac:dyDescent="0.25">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3.8" x14ac:dyDescent="0.25">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3.8" x14ac:dyDescent="0.25">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3.8" x14ac:dyDescent="0.25">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3.8" x14ac:dyDescent="0.25">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3.8" x14ac:dyDescent="0.25">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3.8" x14ac:dyDescent="0.25">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3.8" x14ac:dyDescent="0.25">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3.8" x14ac:dyDescent="0.25">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3.8" x14ac:dyDescent="0.25">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3.8" x14ac:dyDescent="0.25">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3.8" x14ac:dyDescent="0.25">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3.8" x14ac:dyDescent="0.25">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3.8" x14ac:dyDescent="0.25">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3.8" x14ac:dyDescent="0.25">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3.8" x14ac:dyDescent="0.25">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3.8" x14ac:dyDescent="0.25">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3.8" x14ac:dyDescent="0.25">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3.8" x14ac:dyDescent="0.25">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3.8" x14ac:dyDescent="0.25">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3.8" x14ac:dyDescent="0.25">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3.8" x14ac:dyDescent="0.25">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3.8" x14ac:dyDescent="0.25">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3.8" x14ac:dyDescent="0.25">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3.8" x14ac:dyDescent="0.25">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3.8" x14ac:dyDescent="0.25">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3.8" x14ac:dyDescent="0.25">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3.8" x14ac:dyDescent="0.25">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3.8" x14ac:dyDescent="0.25">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3.8" x14ac:dyDescent="0.25">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3.8" x14ac:dyDescent="0.25">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3.8" x14ac:dyDescent="0.25">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3.8" x14ac:dyDescent="0.25">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3.8" x14ac:dyDescent="0.25">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3.8" x14ac:dyDescent="0.25">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3.8" x14ac:dyDescent="0.25">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3.8" x14ac:dyDescent="0.25">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3.8" x14ac:dyDescent="0.25">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3.8" x14ac:dyDescent="0.25">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3.8" x14ac:dyDescent="0.25">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3.8" x14ac:dyDescent="0.25">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3.8" x14ac:dyDescent="0.25">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3.8" x14ac:dyDescent="0.25">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3.8" x14ac:dyDescent="0.25">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3.8" x14ac:dyDescent="0.25">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3.8" x14ac:dyDescent="0.25">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3.8" x14ac:dyDescent="0.25">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3.8" x14ac:dyDescent="0.25">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3.8" x14ac:dyDescent="0.25">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3.8" x14ac:dyDescent="0.25">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3.8" x14ac:dyDescent="0.25">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3.8" x14ac:dyDescent="0.25">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3.8" x14ac:dyDescent="0.25">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3.8" x14ac:dyDescent="0.25">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3.8" x14ac:dyDescent="0.25">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3.8" x14ac:dyDescent="0.25">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3.8" x14ac:dyDescent="0.25">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3.8" x14ac:dyDescent="0.25">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3.8" x14ac:dyDescent="0.25">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3.8" x14ac:dyDescent="0.25">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3.8" x14ac:dyDescent="0.25">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3.8" x14ac:dyDescent="0.25">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3.8" x14ac:dyDescent="0.25">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3.8" x14ac:dyDescent="0.25">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3.8" x14ac:dyDescent="0.25">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3.8" x14ac:dyDescent="0.25">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3.8" x14ac:dyDescent="0.25">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3.8" x14ac:dyDescent="0.25">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3.8" x14ac:dyDescent="0.25">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3.8" x14ac:dyDescent="0.25">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3.8" x14ac:dyDescent="0.25">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3.8" x14ac:dyDescent="0.25">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3.8" x14ac:dyDescent="0.25">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3.8" x14ac:dyDescent="0.25">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3.8" x14ac:dyDescent="0.25">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3.8" x14ac:dyDescent="0.25">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3.8" x14ac:dyDescent="0.25">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3.8" x14ac:dyDescent="0.25">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3.8" x14ac:dyDescent="0.25">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3.8" x14ac:dyDescent="0.25">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3.8" x14ac:dyDescent="0.25">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3.8" x14ac:dyDescent="0.25">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3.8" x14ac:dyDescent="0.25">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3.8" x14ac:dyDescent="0.25">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3.8" x14ac:dyDescent="0.25">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3.8" x14ac:dyDescent="0.25">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3.8" x14ac:dyDescent="0.25">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3.8" x14ac:dyDescent="0.25">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3.8" x14ac:dyDescent="0.25">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3.8" x14ac:dyDescent="0.25">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3.8" x14ac:dyDescent="0.25">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3.8" x14ac:dyDescent="0.25">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3.8" x14ac:dyDescent="0.25">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3.8" x14ac:dyDescent="0.25">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3.8" x14ac:dyDescent="0.25">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3.8" x14ac:dyDescent="0.25">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3.8" x14ac:dyDescent="0.25">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3.8" x14ac:dyDescent="0.25">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3.8" x14ac:dyDescent="0.25">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3.8" x14ac:dyDescent="0.25">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 thickBot="1" x14ac:dyDescent="0.3">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6"/>
      <c r="AA260" s="1617"/>
      <c r="AB260" s="366">
        <f>SUM(AB12:AB259)</f>
        <v>0</v>
      </c>
      <c r="AC260" s="366">
        <f>SUM(AC12:AC259)</f>
        <v>0</v>
      </c>
      <c r="AD260" s="34"/>
      <c r="AE260" s="34"/>
    </row>
    <row r="261" spans="2:38" ht="28.95" customHeight="1" x14ac:dyDescent="0.25"/>
    <row r="262" spans="2:38" ht="27" customHeight="1" x14ac:dyDescent="0.25"/>
    <row r="263" spans="2:38" ht="13.8" x14ac:dyDescent="0.25"/>
    <row r="264" spans="2:38" ht="13.8" x14ac:dyDescent="0.25"/>
    <row r="265" spans="2:38" ht="13.8" x14ac:dyDescent="0.25"/>
    <row r="266" spans="2:38" ht="13.8" x14ac:dyDescent="0.25"/>
    <row r="267" spans="2:38" ht="13.8" x14ac:dyDescent="0.25"/>
    <row r="268" spans="2:38" ht="13.8" x14ac:dyDescent="0.25"/>
    <row r="269" spans="2:38" ht="13.8" hidden="1" x14ac:dyDescent="0.25"/>
    <row r="270" spans="2:38" ht="13.8" hidden="1" x14ac:dyDescent="0.25"/>
    <row r="271" spans="2:38" ht="13.8" hidden="1" x14ac:dyDescent="0.25"/>
    <row r="272" spans="2:38" ht="13.8" hidden="1" x14ac:dyDescent="0.25"/>
    <row r="273" ht="13.8" hidden="1" x14ac:dyDescent="0.25"/>
    <row r="274" ht="13.8" hidden="1" x14ac:dyDescent="0.25"/>
    <row r="275" ht="13.8" hidden="1" x14ac:dyDescent="0.25"/>
    <row r="1048576" ht="13.8" x14ac:dyDescent="0.25"/>
  </sheetData>
  <sheetProtection algorithmName="SHA-512" hashValue="mziT3SBBGX3rENj20OhwcFpNzM/VosHh2cw45D/DQPd+7O4pGyHpDoErMoF0tMlz7fc/raPomEah3WnR1Y0opQ==" saltValue="AckNxpmHP+Qn9BvvV1syy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AC10:AC11"/>
    <mergeCell ref="P2:U6"/>
    <mergeCell ref="F4:K4"/>
    <mergeCell ref="F3:K3"/>
    <mergeCell ref="F2:O2"/>
    <mergeCell ref="V2:AB5"/>
    <mergeCell ref="F5:K5"/>
    <mergeCell ref="L5:O5"/>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s>
  <conditionalFormatting sqref="H12:H259">
    <cfRule type="beginsWith" dxfId="49" priority="23" operator="beginsWith" text="Not Possible">
      <formula>LEFT(H12,LEN("Not Possible"))="Not Possible"</formula>
    </cfRule>
  </conditionalFormatting>
  <conditionalFormatting sqref="J12:K259">
    <cfRule type="containsText" dxfId="48" priority="22" operator="containsText" text="Spatial">
      <formula>NOT(ISERROR(SEARCH("Spatial",J12)))</formula>
    </cfRule>
  </conditionalFormatting>
  <conditionalFormatting sqref="L3:L4">
    <cfRule type="containsText" dxfId="47" priority="3" operator="containsText" text="Error">
      <formula>NOT(ISERROR(SEARCH("Error",L3)))</formula>
    </cfRule>
    <cfRule type="containsText" dxfId="46" priority="4" operator="containsText" text="Check">
      <formula>NOT(ISERROR(SEARCH("Check",L3)))</formula>
    </cfRule>
  </conditionalFormatting>
  <conditionalFormatting sqref="L5">
    <cfRule type="containsText" dxfId="45" priority="8" operator="containsText" text="No">
      <formula>NOT(ISERROR(SEARCH("No",L5)))</formula>
    </cfRule>
    <cfRule type="containsText" dxfId="44" priority="9" operator="containsText" text="Yes">
      <formula>NOT(ISERROR(SEARCH("Yes",L5)))</formula>
    </cfRule>
  </conditionalFormatting>
  <conditionalFormatting sqref="L3:O5">
    <cfRule type="containsText" dxfId="43" priority="1" operator="containsText" text="N/A">
      <formula>NOT(ISERROR(SEARCH("N/A",L3)))</formula>
    </cfRule>
  </conditionalFormatting>
  <conditionalFormatting sqref="L4:O4">
    <cfRule type="cellIs" dxfId="42" priority="2" operator="equal">
      <formula>0</formula>
    </cfRule>
    <cfRule type="cellIs" dxfId="41" priority="5" operator="lessThan">
      <formula>0</formula>
    </cfRule>
  </conditionalFormatting>
  <conditionalFormatting sqref="L12:Q259">
    <cfRule type="containsText" dxfId="38" priority="19" operator="containsText" text="30+">
      <formula>NOT(ISERROR(SEARCH("30+",L12)))</formula>
    </cfRule>
  </conditionalFormatting>
  <conditionalFormatting sqref="O12:AB259">
    <cfRule type="containsText" dxfId="37" priority="21" operator="containsText" text="Error">
      <formula>NOT(ISERROR(SEARCH("Error",O12)))</formula>
    </cfRule>
  </conditionalFormatting>
  <conditionalFormatting sqref="O12:AC259">
    <cfRule type="containsText" dxfId="36" priority="6" operator="containsText" text="Check">
      <formula>NOT(ISERROR(SEARCH("Check",O12)))</formula>
    </cfRule>
  </conditionalFormatting>
  <conditionalFormatting sqref="P2 L6:O6">
    <cfRule type="containsText" dxfId="35" priority="18" operator="containsText" text="Note">
      <formula>NOT(ISERROR(SEARCH("Note",L2)))</formula>
    </cfRule>
  </conditionalFormatting>
  <conditionalFormatting sqref="V2:AC5">
    <cfRule type="containsText" dxfId="34" priority="10" operator="containsText" text="Check">
      <formula>NOT(ISERROR(SEARCH("Check",V2)))</formula>
    </cfRule>
  </conditionalFormatting>
  <conditionalFormatting sqref="W12:Y259">
    <cfRule type="containsText" dxfId="33" priority="17" operator="containsText" text="Spatial">
      <formula>NOT(ISERROR(SEARCH("Spatial",W12)))</formula>
    </cfRule>
  </conditionalFormatting>
  <conditionalFormatting sqref="AC12:AC259">
    <cfRule type="containsText" dxfId="32" priority="7"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2" operator="lessThan" id="{ACB35EB0-74C0-41D6-8DE8-9B58D5CE6B24}">
            <xm:f>Start!$F$22</xm:f>
            <x14:dxf>
              <font>
                <color rgb="FF383745"/>
              </font>
              <fill>
                <patternFill>
                  <bgColor rgb="FFFFC000"/>
                </patternFill>
              </fill>
            </x14:dxf>
          </x14:cfRule>
          <x14:cfRule type="cellIs" priority="453"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77734375" style="30" customWidth="1"/>
    <col min="2" max="2" width="14.21875" style="30" customWidth="1"/>
    <col min="3" max="3" width="51.21875" style="30" customWidth="1"/>
    <col min="4" max="4" width="10.44140625" style="30" customWidth="1"/>
    <col min="5" max="5" width="17.44140625" style="30" customWidth="1"/>
    <col min="6" max="6" width="17.5546875" style="30" customWidth="1"/>
    <col min="7" max="7" width="18.21875" style="30" customWidth="1"/>
    <col min="8" max="8" width="19.21875" style="30" customWidth="1"/>
    <col min="9" max="9" width="34.5546875" style="30" customWidth="1"/>
    <col min="10" max="13" width="19.21875" style="30" customWidth="1"/>
    <col min="14" max="14" width="56.77734375" style="30" customWidth="1"/>
    <col min="15" max="15" width="34.21875" style="30" customWidth="1"/>
    <col min="16" max="16" width="45.77734375" style="30" customWidth="1"/>
    <col min="17" max="17" width="9.77734375" style="30" customWidth="1"/>
    <col min="18" max="18" width="18.21875" style="30" customWidth="1"/>
    <col min="19" max="19" width="13.21875" style="30" customWidth="1"/>
    <col min="20" max="20" width="12.5546875" style="30" bestFit="1" customWidth="1"/>
    <col min="21" max="21" width="12.5546875" style="30" customWidth="1"/>
    <col min="22" max="22" width="33.77734375" style="30" customWidth="1"/>
    <col min="23" max="23" width="15.44140625" style="30" customWidth="1"/>
    <col min="24" max="24" width="12.21875" style="30" customWidth="1"/>
    <col min="25" max="25" width="18.44140625" style="30" customWidth="1"/>
    <col min="26" max="26" width="20.44140625" style="30" customWidth="1"/>
    <col min="27" max="27" width="23.21875" style="30" customWidth="1"/>
    <col min="28" max="28" width="26.77734375" style="30" customWidth="1"/>
    <col min="29" max="29" width="18.44140625" style="30" customWidth="1"/>
    <col min="30" max="30" width="15.21875" style="30" customWidth="1"/>
    <col min="31" max="31" width="17.77734375" style="30" customWidth="1"/>
    <col min="32" max="32" width="27.21875" style="30" customWidth="1"/>
    <col min="33" max="33" width="17.44140625" style="30" customWidth="1"/>
    <col min="34" max="34" width="12.77734375" style="30" customWidth="1"/>
    <col min="35" max="35" width="16.77734375" style="30" customWidth="1"/>
    <col min="36" max="36" width="12.77734375" style="30" customWidth="1"/>
    <col min="37" max="37" width="19.5546875" style="30" customWidth="1"/>
    <col min="38" max="38" width="12.77734375" style="30" customWidth="1"/>
    <col min="39" max="39" width="41.44140625" style="30" customWidth="1"/>
    <col min="40" max="40" width="12.77734375" style="30" customWidth="1"/>
    <col min="41" max="41" width="11" style="30" hidden="1" customWidth="1"/>
    <col min="42" max="42" width="15.21875" style="30" customWidth="1"/>
    <col min="43" max="43" width="42.21875" style="30" customWidth="1"/>
    <col min="44" max="44" width="42.44140625" style="30" customWidth="1"/>
    <col min="45" max="46" width="13.44140625" style="30" customWidth="1"/>
    <col min="47" max="50" width="8.77734375" style="30" customWidth="1"/>
    <col min="51" max="51" width="8.77734375" style="30" hidden="1" customWidth="1"/>
    <col min="52" max="59" width="0" style="30" hidden="1" customWidth="1"/>
    <col min="60" max="16384" width="8.77734375" style="30" hidden="1"/>
  </cols>
  <sheetData>
    <row r="1" spans="2:51" ht="20.55" customHeight="1" thickBot="1" x14ac:dyDescent="0.3"/>
    <row r="2" spans="2:51" ht="27" customHeight="1" thickBot="1" x14ac:dyDescent="0.3">
      <c r="B2" s="1600" t="str">
        <f>CONCATENATE("Project Name:", " ", Start!F12, "     ", "Map Reference:", " ", Start!K66)</f>
        <v xml:space="preserve">Project Name: Broadfield Park Slopes (‘The Slopes’), The Esplanade, Rochdale, OL16 1AQ     Map Reference: </v>
      </c>
      <c r="C2" s="1601"/>
      <c r="R2" s="102"/>
      <c r="Y2" s="1463" t="str">
        <f>IF(OR(COUNTIF($Y$12:Y259,"*30+*")&gt;0,COUNTIF($AC$12:AC259,"*30+*")&gt;0),"Note; Habitat selected has a time to target condition greater than 30 years. Non standard agreement may be required. ⚠","")</f>
        <v/>
      </c>
      <c r="Z2" s="1463"/>
      <c r="AA2" s="1463"/>
      <c r="AB2" s="1463"/>
      <c r="AC2" s="1463"/>
      <c r="AD2" s="1463"/>
    </row>
    <row r="3" spans="2:51" ht="21" customHeight="1" thickBot="1" x14ac:dyDescent="0.35">
      <c r="B3" s="1621" t="str">
        <f ca="1">MID(CELL("filename",A1),FIND("]",CELL("filename",A1))+1,256)</f>
        <v>F-3 Off-Site WaterC Enhancement</v>
      </c>
      <c r="C3" s="1622"/>
      <c r="O3" s="1404" t="s">
        <v>404</v>
      </c>
      <c r="P3" s="1406"/>
      <c r="R3" s="1613" t="str" cm="1">
        <f t="array" ref="R3">IF(OR(T12:T257 = "Fairly Good", T12:T257 = "Fairly Poor"),"A 'Fairly' Category has been used - check evidence to ensure this is appropriate ⚠", "")</f>
        <v/>
      </c>
      <c r="S3" s="1613"/>
      <c r="T3" s="1613"/>
      <c r="U3" s="1613"/>
      <c r="V3" s="1613"/>
      <c r="W3" s="1613"/>
      <c r="X3" s="1613"/>
      <c r="Y3" s="1463"/>
      <c r="Z3" s="1463"/>
      <c r="AA3" s="1463"/>
      <c r="AB3" s="1463"/>
      <c r="AC3" s="1463"/>
      <c r="AD3" s="1463"/>
    </row>
    <row r="4" spans="2:51" ht="21" customHeight="1" thickBot="1" x14ac:dyDescent="0.3">
      <c r="B4" s="1623"/>
      <c r="C4" s="1624"/>
      <c r="O4" s="535" t="s">
        <v>263</v>
      </c>
      <c r="P4" s="512">
        <f>'Headline Results'!H49</f>
        <v>0</v>
      </c>
      <c r="R4" s="1613"/>
      <c r="S4" s="1613"/>
      <c r="T4" s="1613"/>
      <c r="U4" s="1613"/>
      <c r="V4" s="1613"/>
      <c r="W4" s="1613"/>
      <c r="X4" s="1613"/>
      <c r="Y4" s="1463"/>
      <c r="Z4" s="1463"/>
      <c r="AA4" s="1463"/>
      <c r="AB4" s="1463"/>
      <c r="AC4" s="1463"/>
      <c r="AD4" s="1463"/>
    </row>
    <row r="5" spans="2:51" ht="15.6" customHeight="1" x14ac:dyDescent="0.3">
      <c r="O5" s="506" t="s">
        <v>265</v>
      </c>
      <c r="P5" s="513">
        <f>'Headline Results'!H53</f>
        <v>0</v>
      </c>
      <c r="Q5" s="30" t="s">
        <v>431</v>
      </c>
      <c r="R5" s="1613"/>
      <c r="S5" s="1613"/>
      <c r="T5" s="1613"/>
      <c r="U5" s="1613"/>
      <c r="V5" s="1613"/>
      <c r="W5" s="1613"/>
      <c r="X5" s="1613"/>
      <c r="AH5" s="158"/>
      <c r="AI5" s="158"/>
      <c r="AJ5" s="158"/>
      <c r="AK5" s="158"/>
      <c r="AL5" s="158"/>
      <c r="AM5" s="158"/>
      <c r="AN5" s="158"/>
    </row>
    <row r="6" spans="2:51" ht="15" customHeight="1" thickBot="1" x14ac:dyDescent="0.3">
      <c r="O6" s="536" t="s">
        <v>267</v>
      </c>
      <c r="P6" s="504" t="str" cm="1">
        <f t="array" ref="P6">IF(OR('Trading Summary WaterC''s'!G5:H8="No ▲"), "No - check trading summary ▲", "Yes ✓")</f>
        <v>Yes ✓</v>
      </c>
      <c r="Q6" s="509"/>
      <c r="R6" s="509"/>
      <c r="S6" s="509"/>
      <c r="T6" s="509"/>
    </row>
    <row r="7" spans="2:51" ht="13.8" x14ac:dyDescent="0.25">
      <c r="C7" s="101"/>
    </row>
    <row r="8" spans="2:51" ht="14.4" thickBot="1" x14ac:dyDescent="0.3"/>
    <row r="9" spans="2:51" ht="14.4" thickBot="1" x14ac:dyDescent="0.3">
      <c r="C9" s="101"/>
      <c r="D9" s="101"/>
      <c r="E9" s="101"/>
      <c r="F9" s="101"/>
      <c r="G9" s="101"/>
      <c r="H9" s="101"/>
      <c r="I9" s="101"/>
      <c r="J9" s="101"/>
      <c r="K9" s="101"/>
      <c r="L9" s="101"/>
      <c r="M9" s="101"/>
      <c r="N9" s="1542" t="s">
        <v>311</v>
      </c>
      <c r="O9" s="1543"/>
      <c r="P9" s="1543"/>
      <c r="Q9" s="1543"/>
      <c r="R9" s="1543"/>
      <c r="S9" s="1543"/>
      <c r="T9" s="1543"/>
      <c r="U9" s="1543"/>
      <c r="V9" s="1543"/>
      <c r="W9" s="1543"/>
      <c r="X9" s="1543"/>
      <c r="Y9" s="1543"/>
      <c r="Z9" s="1543"/>
      <c r="AA9" s="1543"/>
      <c r="AB9" s="1543"/>
      <c r="AC9" s="1543"/>
      <c r="AD9" s="1543"/>
      <c r="AE9" s="1543"/>
      <c r="AF9" s="1543"/>
      <c r="AG9" s="1543"/>
      <c r="AH9" s="1543"/>
      <c r="AI9" s="1543"/>
      <c r="AJ9" s="1543"/>
      <c r="AK9" s="1543"/>
      <c r="AL9" s="1543"/>
      <c r="AM9" s="1543"/>
      <c r="AN9" s="1544"/>
      <c r="AO9" s="332"/>
    </row>
    <row r="10" spans="2:51" s="33" customFormat="1" ht="27" customHeight="1" thickBot="1" x14ac:dyDescent="0.3">
      <c r="C10" s="1532" t="s">
        <v>332</v>
      </c>
      <c r="D10" s="1602"/>
      <c r="E10" s="1602"/>
      <c r="F10" s="1602"/>
      <c r="G10" s="1602"/>
      <c r="H10" s="1602"/>
      <c r="I10" s="1602"/>
      <c r="J10" s="1602"/>
      <c r="K10" s="1602"/>
      <c r="L10" s="1602"/>
      <c r="M10" s="1602"/>
      <c r="N10" s="1618" t="s">
        <v>432</v>
      </c>
      <c r="O10" s="1625" t="s">
        <v>334</v>
      </c>
      <c r="P10" s="1626"/>
      <c r="Q10" s="1552" t="s">
        <v>34</v>
      </c>
      <c r="R10" s="1552" t="s">
        <v>421</v>
      </c>
      <c r="S10" s="1552"/>
      <c r="T10" s="1552" t="s">
        <v>422</v>
      </c>
      <c r="U10" s="1552"/>
      <c r="V10" s="1573" t="s">
        <v>271</v>
      </c>
      <c r="W10" s="1574"/>
      <c r="X10" s="1575"/>
      <c r="Y10" s="1573" t="s">
        <v>314</v>
      </c>
      <c r="Z10" s="1574"/>
      <c r="AA10" s="1574"/>
      <c r="AB10" s="1574"/>
      <c r="AC10" s="1574"/>
      <c r="AD10" s="1575"/>
      <c r="AE10" s="1573" t="s">
        <v>315</v>
      </c>
      <c r="AF10" s="1574"/>
      <c r="AG10" s="1574"/>
      <c r="AH10" s="1575"/>
      <c r="AI10" s="1552" t="s">
        <v>406</v>
      </c>
      <c r="AJ10" s="1552"/>
      <c r="AK10" s="1573" t="s">
        <v>407</v>
      </c>
      <c r="AL10" s="1575"/>
      <c r="AM10" s="1552" t="s">
        <v>358</v>
      </c>
      <c r="AN10" s="1573"/>
      <c r="AO10" s="1566" t="s">
        <v>433</v>
      </c>
      <c r="AP10" s="1566" t="s">
        <v>418</v>
      </c>
      <c r="AQ10" s="1315" t="s">
        <v>276</v>
      </c>
      <c r="AR10" s="1313"/>
    </row>
    <row r="11" spans="2:51" ht="60" customHeight="1" thickBot="1" x14ac:dyDescent="0.3">
      <c r="B11" s="719" t="s">
        <v>339</v>
      </c>
      <c r="C11" s="140" t="s">
        <v>340</v>
      </c>
      <c r="D11" s="145" t="s">
        <v>34</v>
      </c>
      <c r="E11" s="145" t="s">
        <v>342</v>
      </c>
      <c r="F11" s="145" t="s">
        <v>343</v>
      </c>
      <c r="G11" s="145" t="s">
        <v>344</v>
      </c>
      <c r="H11" s="145" t="s">
        <v>345</v>
      </c>
      <c r="I11" s="145" t="s">
        <v>346</v>
      </c>
      <c r="J11" s="145" t="s">
        <v>271</v>
      </c>
      <c r="K11" s="145" t="s">
        <v>347</v>
      </c>
      <c r="L11" s="145" t="s">
        <v>272</v>
      </c>
      <c r="M11" s="144" t="s">
        <v>424</v>
      </c>
      <c r="N11" s="1619"/>
      <c r="O11" s="132" t="s">
        <v>395</v>
      </c>
      <c r="P11" s="861" t="s">
        <v>396</v>
      </c>
      <c r="Q11" s="1620"/>
      <c r="R11" s="132" t="s">
        <v>269</v>
      </c>
      <c r="S11" s="752" t="s">
        <v>286</v>
      </c>
      <c r="T11" s="132" t="s">
        <v>270</v>
      </c>
      <c r="U11" s="752" t="s">
        <v>286</v>
      </c>
      <c r="V11" s="132" t="s">
        <v>271</v>
      </c>
      <c r="W11" s="811" t="s">
        <v>271</v>
      </c>
      <c r="X11" s="752" t="s">
        <v>317</v>
      </c>
      <c r="Y11" s="132" t="s">
        <v>392</v>
      </c>
      <c r="Z11" s="811" t="s">
        <v>377</v>
      </c>
      <c r="AA11" s="811" t="s">
        <v>354</v>
      </c>
      <c r="AB11" s="811" t="s">
        <v>321</v>
      </c>
      <c r="AC11" s="811" t="s">
        <v>322</v>
      </c>
      <c r="AD11" s="752" t="s">
        <v>397</v>
      </c>
      <c r="AE11" s="132" t="s">
        <v>398</v>
      </c>
      <c r="AF11" s="811" t="s">
        <v>1679</v>
      </c>
      <c r="AG11" s="811" t="s">
        <v>356</v>
      </c>
      <c r="AH11" s="752" t="s">
        <v>327</v>
      </c>
      <c r="AI11" s="132" t="s">
        <v>409</v>
      </c>
      <c r="AJ11" s="752" t="s">
        <v>410</v>
      </c>
      <c r="AK11" s="132" t="s">
        <v>411</v>
      </c>
      <c r="AL11" s="752" t="s">
        <v>410</v>
      </c>
      <c r="AM11" s="132" t="s">
        <v>361</v>
      </c>
      <c r="AN11" s="887" t="s">
        <v>410</v>
      </c>
      <c r="AO11" s="1567"/>
      <c r="AP11" s="1567"/>
      <c r="AQ11" s="126" t="s">
        <v>295</v>
      </c>
      <c r="AR11" s="861" t="s">
        <v>296</v>
      </c>
      <c r="AS11" s="43" t="s">
        <v>297</v>
      </c>
      <c r="AT11" s="43" t="s">
        <v>363</v>
      </c>
      <c r="AY11" s="210" t="s">
        <v>280</v>
      </c>
    </row>
    <row r="12" spans="2:51" ht="13.8" x14ac:dyDescent="0.25">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3.8" x14ac:dyDescent="0.25">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3.8" x14ac:dyDescent="0.25">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3.8" x14ac:dyDescent="0.25">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3.8" x14ac:dyDescent="0.25">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3.8" x14ac:dyDescent="0.25">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3.8" x14ac:dyDescent="0.25">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3.8" x14ac:dyDescent="0.25">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3.8" x14ac:dyDescent="0.25">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3.8" x14ac:dyDescent="0.25">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3.8" x14ac:dyDescent="0.25">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3.8" x14ac:dyDescent="0.25">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3.8" x14ac:dyDescent="0.25">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3.8" x14ac:dyDescent="0.25">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3.8" x14ac:dyDescent="0.25">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3.8" x14ac:dyDescent="0.25">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3.8" x14ac:dyDescent="0.25">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3.8" x14ac:dyDescent="0.25">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3.8" x14ac:dyDescent="0.25">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3.8" x14ac:dyDescent="0.25">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3.8" x14ac:dyDescent="0.25">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3.8" x14ac:dyDescent="0.25">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3.8" x14ac:dyDescent="0.25">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3.8" x14ac:dyDescent="0.25">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3.8" x14ac:dyDescent="0.25">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3.8" x14ac:dyDescent="0.25">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3.8" x14ac:dyDescent="0.25">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3.8" x14ac:dyDescent="0.25">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3.8" x14ac:dyDescent="0.25">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3.8" x14ac:dyDescent="0.25">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3.8" x14ac:dyDescent="0.25">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3.8" x14ac:dyDescent="0.25">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3.8" x14ac:dyDescent="0.25">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3.8" x14ac:dyDescent="0.25">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3.8" x14ac:dyDescent="0.25">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3.8" x14ac:dyDescent="0.25">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3.8" x14ac:dyDescent="0.25">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3.8" x14ac:dyDescent="0.25">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3.8" x14ac:dyDescent="0.25">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3.8" x14ac:dyDescent="0.25">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3.8" x14ac:dyDescent="0.25">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3.8" x14ac:dyDescent="0.25">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3.8" x14ac:dyDescent="0.25">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3.8" x14ac:dyDescent="0.25">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3.8" x14ac:dyDescent="0.25">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3.8" x14ac:dyDescent="0.25">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3.8" x14ac:dyDescent="0.25">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3.8" x14ac:dyDescent="0.25">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3.8" x14ac:dyDescent="0.25">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3.8" x14ac:dyDescent="0.25">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3.8" x14ac:dyDescent="0.25">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3.8" x14ac:dyDescent="0.25">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3.8" x14ac:dyDescent="0.25">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3.8" x14ac:dyDescent="0.25">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3.8" x14ac:dyDescent="0.25">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3.8" x14ac:dyDescent="0.25">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3.8" x14ac:dyDescent="0.25">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3.8" x14ac:dyDescent="0.25">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3.8" x14ac:dyDescent="0.25">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3.8" x14ac:dyDescent="0.25">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3.8" x14ac:dyDescent="0.25">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3.8" x14ac:dyDescent="0.25">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3.8" x14ac:dyDescent="0.25">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3.8" x14ac:dyDescent="0.25">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3.8" x14ac:dyDescent="0.25">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3.8" x14ac:dyDescent="0.25">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3.8" x14ac:dyDescent="0.25">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3.8" x14ac:dyDescent="0.25">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3.8" x14ac:dyDescent="0.25">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3.8" x14ac:dyDescent="0.25">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3.8" x14ac:dyDescent="0.25">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3.8" x14ac:dyDescent="0.25">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3.8" x14ac:dyDescent="0.25">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3.8" x14ac:dyDescent="0.25">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3.8" x14ac:dyDescent="0.25">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3.8" x14ac:dyDescent="0.25">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3.8" x14ac:dyDescent="0.25">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3.8" x14ac:dyDescent="0.25">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3.8" x14ac:dyDescent="0.25">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3.8" x14ac:dyDescent="0.25">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3.8" x14ac:dyDescent="0.25">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3.8" x14ac:dyDescent="0.25">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3.8" x14ac:dyDescent="0.25">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3.8" x14ac:dyDescent="0.25">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3.8" x14ac:dyDescent="0.25">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3.8" x14ac:dyDescent="0.25">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3.8" x14ac:dyDescent="0.25">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3.8" x14ac:dyDescent="0.25">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3.8" x14ac:dyDescent="0.25">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3.8" x14ac:dyDescent="0.25">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3.8" x14ac:dyDescent="0.25">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3.8" x14ac:dyDescent="0.25">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3.8" x14ac:dyDescent="0.25">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3.8" x14ac:dyDescent="0.25">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3.8" x14ac:dyDescent="0.25">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3.8" x14ac:dyDescent="0.25">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3.8" x14ac:dyDescent="0.25">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3.8" x14ac:dyDescent="0.25">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3.8" x14ac:dyDescent="0.25">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3.8" x14ac:dyDescent="0.25">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3.8" x14ac:dyDescent="0.25">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3.8" x14ac:dyDescent="0.25">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3.8" x14ac:dyDescent="0.25">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3.8" x14ac:dyDescent="0.25">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3.8" x14ac:dyDescent="0.25">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3.8" x14ac:dyDescent="0.25">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3.8" x14ac:dyDescent="0.25">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3.8" x14ac:dyDescent="0.25">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3.8" x14ac:dyDescent="0.25">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3.8" x14ac:dyDescent="0.25">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3.8" x14ac:dyDescent="0.25">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3.8" x14ac:dyDescent="0.25">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3.8" x14ac:dyDescent="0.25">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3.8" x14ac:dyDescent="0.25">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3.8" x14ac:dyDescent="0.25">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3.8" x14ac:dyDescent="0.25">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3.8" x14ac:dyDescent="0.25">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3.8" x14ac:dyDescent="0.25">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3.8" x14ac:dyDescent="0.25">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3.8" x14ac:dyDescent="0.25">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3.8" x14ac:dyDescent="0.25">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3.8" x14ac:dyDescent="0.25">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3.8" x14ac:dyDescent="0.25">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3.8" x14ac:dyDescent="0.25">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3.8" x14ac:dyDescent="0.25">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3.8" x14ac:dyDescent="0.25">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3.8" x14ac:dyDescent="0.25">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3.8" x14ac:dyDescent="0.25">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3.8" x14ac:dyDescent="0.25">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3.8" x14ac:dyDescent="0.25">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3.8" x14ac:dyDescent="0.25">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3.8" x14ac:dyDescent="0.25">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3.8" x14ac:dyDescent="0.25">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3.8" x14ac:dyDescent="0.25">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3.8" x14ac:dyDescent="0.25">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3.8" x14ac:dyDescent="0.25">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3.8" x14ac:dyDescent="0.25">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3.8" x14ac:dyDescent="0.25">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3.8" x14ac:dyDescent="0.25">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3.8" x14ac:dyDescent="0.25">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3.8" x14ac:dyDescent="0.25">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3.8" x14ac:dyDescent="0.25">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3.8" x14ac:dyDescent="0.25">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3.8" x14ac:dyDescent="0.25">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3.8" x14ac:dyDescent="0.25">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3.8" x14ac:dyDescent="0.25">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3.8" x14ac:dyDescent="0.25">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3.8" x14ac:dyDescent="0.25">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3.8" x14ac:dyDescent="0.25">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3.8" x14ac:dyDescent="0.25">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3.8" x14ac:dyDescent="0.25">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3.8" x14ac:dyDescent="0.25">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3.8" x14ac:dyDescent="0.25">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3.8" x14ac:dyDescent="0.25">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3.8" x14ac:dyDescent="0.25">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3.8" x14ac:dyDescent="0.25">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3.8" x14ac:dyDescent="0.25">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3.8" x14ac:dyDescent="0.25">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3.8" x14ac:dyDescent="0.25">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3.8" x14ac:dyDescent="0.25">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3.8" x14ac:dyDescent="0.25">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3.8" x14ac:dyDescent="0.25">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3.8" x14ac:dyDescent="0.25">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3.8" x14ac:dyDescent="0.25">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3.8" x14ac:dyDescent="0.25">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3.8" x14ac:dyDescent="0.25">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3.8" x14ac:dyDescent="0.25">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3.8" x14ac:dyDescent="0.25">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3.8" x14ac:dyDescent="0.25">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3.8" x14ac:dyDescent="0.25">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3.8" x14ac:dyDescent="0.25">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3.8" x14ac:dyDescent="0.25">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3.8" x14ac:dyDescent="0.25">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3.8" x14ac:dyDescent="0.25">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3.8" x14ac:dyDescent="0.25">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3.8" x14ac:dyDescent="0.25">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3.8" x14ac:dyDescent="0.25">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3.8" x14ac:dyDescent="0.25">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3.8" x14ac:dyDescent="0.25">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3.8" x14ac:dyDescent="0.25">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3.8" x14ac:dyDescent="0.25">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3.8" x14ac:dyDescent="0.25">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3.8" x14ac:dyDescent="0.25">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3.8" x14ac:dyDescent="0.25">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3.8" x14ac:dyDescent="0.25">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3.8" x14ac:dyDescent="0.25">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3.8" x14ac:dyDescent="0.25">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3.8" x14ac:dyDescent="0.25">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3.8" x14ac:dyDescent="0.25">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3.8" x14ac:dyDescent="0.25">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3.8" x14ac:dyDescent="0.25">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3.8" x14ac:dyDescent="0.25">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3.8" x14ac:dyDescent="0.25">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3.8" x14ac:dyDescent="0.25">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3.8" x14ac:dyDescent="0.25">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3.8" x14ac:dyDescent="0.25">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3.8" x14ac:dyDescent="0.25">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3.8" x14ac:dyDescent="0.25">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3.8" x14ac:dyDescent="0.25">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3.8" x14ac:dyDescent="0.25">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3.8" x14ac:dyDescent="0.25">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3.8" x14ac:dyDescent="0.25">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3.8" x14ac:dyDescent="0.25">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3.8" x14ac:dyDescent="0.25">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3.8" x14ac:dyDescent="0.25">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3.8" x14ac:dyDescent="0.25">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3.8" x14ac:dyDescent="0.25">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3.8" x14ac:dyDescent="0.25">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3.8" x14ac:dyDescent="0.25">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3.8" x14ac:dyDescent="0.25">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3.8" x14ac:dyDescent="0.25">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3.8" x14ac:dyDescent="0.25">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3.8" x14ac:dyDescent="0.25">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3.8" x14ac:dyDescent="0.25">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3.8" x14ac:dyDescent="0.25">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3.8" x14ac:dyDescent="0.25">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3.8" x14ac:dyDescent="0.25">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3.8" x14ac:dyDescent="0.25">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3.8" x14ac:dyDescent="0.25">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3.8" x14ac:dyDescent="0.25">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3.8" x14ac:dyDescent="0.25">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3.8" x14ac:dyDescent="0.25">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3.8" x14ac:dyDescent="0.25">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3.8" x14ac:dyDescent="0.25">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3.8" x14ac:dyDescent="0.25">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3.8" x14ac:dyDescent="0.25">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3.8" x14ac:dyDescent="0.25">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3.8" x14ac:dyDescent="0.25">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3.8" x14ac:dyDescent="0.25">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3.8" x14ac:dyDescent="0.25">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3.8" x14ac:dyDescent="0.25">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3.8" x14ac:dyDescent="0.25">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3.8" x14ac:dyDescent="0.25">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3.8" x14ac:dyDescent="0.25">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3.8" x14ac:dyDescent="0.25">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3.8" x14ac:dyDescent="0.25">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3.8" x14ac:dyDescent="0.25">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3.8" x14ac:dyDescent="0.25">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3.8" x14ac:dyDescent="0.25">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3.8" x14ac:dyDescent="0.25">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3.8" x14ac:dyDescent="0.25">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3.8" x14ac:dyDescent="0.25">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3.8" x14ac:dyDescent="0.25">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3.8" x14ac:dyDescent="0.25">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3.8" x14ac:dyDescent="0.25">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 thickBot="1" x14ac:dyDescent="0.3">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 thickBot="1" x14ac:dyDescent="0.3">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29"/>
      <c r="AN258" s="1529"/>
      <c r="AO258" s="427">
        <f>SUM(AO12:AO257)</f>
        <v>0</v>
      </c>
      <c r="AP258" s="427">
        <f>SUM(AP12:AP257)</f>
        <v>0</v>
      </c>
      <c r="AQ258" s="34"/>
      <c r="AR258" s="34"/>
    </row>
    <row r="259" spans="2:51" ht="13.8" x14ac:dyDescent="0.25">
      <c r="AJ259" s="30" t="str">
        <f>IF(AI259="","",IF(VLOOKUP(AI259,'[2]G-7 Rivers Data'!$AA$4:$AB$6,2,FALSE)=0,"Spatial Data Missing",VLOOKUP(AI259,'[2]G-7 Rivers Data'!$AA$4:$AB$6,2,FALSE)))</f>
        <v/>
      </c>
      <c r="AM259" s="32"/>
    </row>
    <row r="260" spans="2:51" ht="13.8" x14ac:dyDescent="0.25"/>
    <row r="261" spans="2:51" ht="13.8" x14ac:dyDescent="0.25"/>
    <row r="262" spans="2:51" ht="13.8" x14ac:dyDescent="0.25"/>
    <row r="263" spans="2:51" ht="13.8" x14ac:dyDescent="0.25"/>
    <row r="264" spans="2:51" ht="13.8" x14ac:dyDescent="0.25"/>
    <row r="265" spans="2:51" ht="13.8" x14ac:dyDescent="0.25"/>
    <row r="266" spans="2:51" ht="13.8" x14ac:dyDescent="0.25"/>
  </sheetData>
  <sheetProtection algorithmName="SHA-512" hashValue="Voqn0Ed/DxXbom1UwnwFGaVtjtqxnWmrQRBU9cJ9MZZa+g/3YiAqxud/pzMUjU+7gttQFwUIAjhkQPwwVyhwcw==" saltValue="cyZXojb9GVRRBo0cWWFCE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AM258:AN258"/>
    <mergeCell ref="N9:AN9"/>
    <mergeCell ref="AQ10:AR10"/>
    <mergeCell ref="AO10:AO11"/>
    <mergeCell ref="AM10:AN10"/>
    <mergeCell ref="AE10:AH10"/>
    <mergeCell ref="AI10:AJ10"/>
    <mergeCell ref="AK10:AL10"/>
    <mergeCell ref="AP10:AP11"/>
    <mergeCell ref="Y2:AD4"/>
    <mergeCell ref="B2:C2"/>
    <mergeCell ref="C10:M10"/>
    <mergeCell ref="V10:X10"/>
    <mergeCell ref="Y10:AD10"/>
    <mergeCell ref="N10:N11"/>
    <mergeCell ref="Q10:Q11"/>
    <mergeCell ref="R10:S10"/>
    <mergeCell ref="T10:U10"/>
    <mergeCell ref="O3:P3"/>
    <mergeCell ref="B3:C4"/>
    <mergeCell ref="O10:P10"/>
    <mergeCell ref="R3:X5"/>
  </mergeCells>
  <conditionalFormatting sqref="L12:L257">
    <cfRule type="containsText" dxfId="31" priority="30" operator="containsText" text="Restore">
      <formula>NOT(ISERROR(SEARCH("Restore",L12)))</formula>
    </cfRule>
  </conditionalFormatting>
  <conditionalFormatting sqref="O12:AB257 AO258:AP258">
    <cfRule type="beginsWith" dxfId="30" priority="25" operator="beginsWith" text="No - Low">
      <formula>LEFT(O12,LEN("No - Low"))="No - Low"</formula>
    </cfRule>
    <cfRule type="containsText" dxfId="29" priority="26" operator="containsText" text="30+">
      <formula>NOT(ISERROR(SEARCH("30+",O12)))</formula>
    </cfRule>
    <cfRule type="containsText" dxfId="28" priority="27" operator="containsText" text="Spatial">
      <formula>NOT(ISERROR(SEARCH("Spatial",O12)))</formula>
    </cfRule>
  </conditionalFormatting>
  <conditionalFormatting sqref="O12:AO257">
    <cfRule type="containsText" dxfId="27" priority="23" operator="containsText" text="Check">
      <formula>NOT(ISERROR(SEARCH("Check",O12)))</formula>
    </cfRule>
  </conditionalFormatting>
  <conditionalFormatting sqref="P4">
    <cfRule type="containsText" dxfId="26" priority="19" operator="containsText" text="Error">
      <formula>NOT(ISERROR(SEARCH("Error",P4)))</formula>
    </cfRule>
    <cfRule type="containsText" dxfId="25" priority="20" operator="containsText" text="Check">
      <formula>NOT(ISERROR(SEARCH("Check",P4)))</formula>
    </cfRule>
  </conditionalFormatting>
  <conditionalFormatting sqref="P4:P6">
    <cfRule type="containsText" dxfId="24" priority="1" operator="containsText" text="N/A">
      <formula>NOT(ISERROR(SEARCH("N/A",P4)))</formula>
    </cfRule>
  </conditionalFormatting>
  <conditionalFormatting sqref="P5">
    <cfRule type="cellIs" dxfId="23" priority="2" operator="equal">
      <formula>0</formula>
    </cfRule>
    <cfRule type="containsText" dxfId="22" priority="3" operator="containsText" text="Error">
      <formula>NOT(ISERROR(SEARCH("Error",P5)))</formula>
    </cfRule>
    <cfRule type="containsText" dxfId="21" priority="4" operator="containsText" text="Check">
      <formula>NOT(ISERROR(SEARCH("Check",P5)))</formula>
    </cfRule>
    <cfRule type="cellIs" dxfId="20" priority="5" operator="lessThan">
      <formula>0</formula>
    </cfRule>
  </conditionalFormatting>
  <conditionalFormatting sqref="P6">
    <cfRule type="containsText" dxfId="17" priority="12" operator="containsText" text="No">
      <formula>NOT(ISERROR(SEARCH("No",P6)))</formula>
    </cfRule>
    <cfRule type="containsText" dxfId="16" priority="13" operator="containsText" text="Yes">
      <formula>NOT(ISERROR(SEARCH("Yes",P6)))</formula>
    </cfRule>
  </conditionalFormatting>
  <conditionalFormatting sqref="R3:X5">
    <cfRule type="containsText" dxfId="15" priority="14" operator="containsText" text="Check">
      <formula>NOT(ISERROR(SEARCH("Check",R3)))</formula>
    </cfRule>
  </conditionalFormatting>
  <conditionalFormatting sqref="U12:U257">
    <cfRule type="containsText" dxfId="14" priority="11" operator="containsText" text="Not possible">
      <formula>NOT(ISERROR(SEARCH("Not possible",U12)))</formula>
    </cfRule>
  </conditionalFormatting>
  <conditionalFormatting sqref="Y2">
    <cfRule type="containsText" dxfId="13" priority="21" operator="containsText" text="Note">
      <formula>NOT(ISERROR(SEARCH("Note",Y2)))</formula>
    </cfRule>
  </conditionalFormatting>
  <conditionalFormatting sqref="AC12:AD257">
    <cfRule type="beginsWith" dxfId="12" priority="24" operator="beginsWith" text="Error">
      <formula>LEFT(AC12,LEN("Error"))="Error"</formula>
    </cfRule>
  </conditionalFormatting>
  <conditionalFormatting sqref="AE12:AP257">
    <cfRule type="beginsWith" dxfId="11" priority="6" operator="beginsWith" text="No - Low">
      <formula>LEFT(AE12,LEN("No - Low"))="No - Low"</formula>
    </cfRule>
    <cfRule type="containsText" dxfId="10" priority="7" operator="containsText" text="30+">
      <formula>NOT(ISERROR(SEARCH("30+",AE12)))</formula>
    </cfRule>
    <cfRule type="containsText" dxfId="9" priority="8" operator="containsText" text="Spatial">
      <formula>NOT(ISERROR(SEARCH("Spatial",AE12)))</formula>
    </cfRule>
  </conditionalFormatting>
  <conditionalFormatting sqref="AO258:AP258 O12:AB257 AE12:AO257">
    <cfRule type="containsText" dxfId="8" priority="29" operator="containsText" text="Error">
      <formula>NOT(ISERROR(SEARCH("Error",O12)))</formula>
    </cfRule>
  </conditionalFormatting>
  <conditionalFormatting sqref="AO258:AP258">
    <cfRule type="containsText" dxfId="7" priority="28" operator="containsText" text="Check">
      <formula>NOT(ISERROR(SEARCH("Check",AO258)))</formula>
    </cfRule>
  </conditionalFormatting>
  <conditionalFormatting sqref="AP12:AP257">
    <cfRule type="containsText" dxfId="6" priority="9" operator="containsText" text="Check">
      <formula>NOT(ISERROR(SEARCH("Check",AP12)))</formula>
    </cfRule>
    <cfRule type="containsText" dxfId="5" priority="10"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4" operator="lessThan" id="{81F228A8-0E99-4272-9DDD-FBE759F32105}">
            <xm:f>Start!$F$22</xm:f>
            <x14:dxf>
              <font>
                <color rgb="FF383745"/>
              </font>
              <fill>
                <patternFill>
                  <bgColor rgb="FFFFC000"/>
                </patternFill>
              </fill>
            </x14:dxf>
          </x14:cfRule>
          <x14:cfRule type="cellIs" priority="455"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topRight"/>
      <selection pane="bottomLeft"/>
      <selection pane="bottomRight"/>
    </sheetView>
  </sheetViews>
  <sheetFormatPr defaultColWidth="4.21875" defaultRowHeight="13.8" zeroHeight="1" x14ac:dyDescent="0.25"/>
  <cols>
    <col min="1" max="1" width="30.44140625" style="33" customWidth="1"/>
    <col min="2" max="2" width="77" style="30" bestFit="1" customWidth="1"/>
    <col min="3" max="3" width="26.21875" style="30" bestFit="1" customWidth="1"/>
    <col min="4" max="4" width="13.77734375" style="30" bestFit="1" customWidth="1"/>
    <col min="5" max="5" width="19.77734375" style="30" bestFit="1" customWidth="1"/>
    <col min="6" max="6" width="25.21875" style="30" bestFit="1" customWidth="1"/>
    <col min="7" max="7" width="19.77734375" style="30" bestFit="1" customWidth="1"/>
    <col min="8" max="8" width="82.21875" style="30" bestFit="1" customWidth="1"/>
    <col min="9" max="9" width="26.21875" style="30" customWidth="1"/>
    <col min="10" max="10" width="60.5546875" style="30" bestFit="1" customWidth="1"/>
    <col min="11" max="11" width="21.21875" style="30" bestFit="1" customWidth="1"/>
    <col min="12" max="12" width="28.21875" style="30" bestFit="1" customWidth="1"/>
    <col min="13" max="13" width="66" style="30" customWidth="1"/>
    <col min="14" max="14" width="27.44140625" style="30" bestFit="1" customWidth="1"/>
    <col min="15" max="15" width="16.44140625" style="30" bestFit="1" customWidth="1"/>
    <col min="16" max="16" width="27.44140625" style="30" bestFit="1" customWidth="1"/>
    <col min="17" max="17" width="16.44140625" style="30" bestFit="1" customWidth="1"/>
    <col min="18" max="18" width="28.44140625" style="33" bestFit="1" customWidth="1"/>
    <col min="19" max="19" width="30.21875" style="30" bestFit="1" customWidth="1"/>
    <col min="20" max="23" width="26.21875" style="30" customWidth="1"/>
    <col min="24" max="24" width="30.21875" style="30" customWidth="1"/>
    <col min="25" max="27" width="26.21875" style="30" customWidth="1"/>
    <col min="28" max="33" width="31.21875" style="30" customWidth="1"/>
    <col min="34" max="35" width="4.21875" style="30"/>
    <col min="36" max="16383" width="0" style="30" hidden="1" customWidth="1"/>
    <col min="16384" max="16384" width="2.21875" style="30" hidden="1" customWidth="1"/>
  </cols>
  <sheetData>
    <row r="1" spans="1:35" ht="57.6" customHeight="1" x14ac:dyDescent="0.4">
      <c r="D1" s="1632" t="s">
        <v>434</v>
      </c>
      <c r="E1" s="1632"/>
      <c r="F1" s="1632"/>
      <c r="G1" s="174"/>
      <c r="H1" s="595"/>
      <c r="I1" s="174"/>
      <c r="J1" s="174"/>
      <c r="V1" s="1627" t="s">
        <v>435</v>
      </c>
      <c r="W1" s="1629"/>
      <c r="X1" s="1628"/>
      <c r="Z1" s="1627" t="s">
        <v>436</v>
      </c>
      <c r="AA1" s="1628"/>
      <c r="AF1" s="1630" t="s">
        <v>437</v>
      </c>
      <c r="AG1" s="1630" t="s">
        <v>438</v>
      </c>
    </row>
    <row r="2" spans="1:35" s="90" customFormat="1" ht="41.55" customHeight="1" x14ac:dyDescent="0.25">
      <c r="A2" s="230"/>
      <c r="B2" s="78" t="s">
        <v>439</v>
      </c>
      <c r="C2" s="175" t="s">
        <v>440</v>
      </c>
      <c r="D2" s="175" t="s">
        <v>441</v>
      </c>
      <c r="E2" s="175" t="s">
        <v>442</v>
      </c>
      <c r="F2" s="175" t="s">
        <v>443</v>
      </c>
      <c r="G2" s="175" t="s">
        <v>444</v>
      </c>
      <c r="H2" s="596" t="s">
        <v>445</v>
      </c>
      <c r="I2" s="175" t="s">
        <v>446</v>
      </c>
      <c r="J2" s="175" t="s">
        <v>447</v>
      </c>
      <c r="K2" s="175" t="s">
        <v>448</v>
      </c>
      <c r="L2" s="175" t="s">
        <v>449</v>
      </c>
      <c r="M2" s="175" t="s">
        <v>450</v>
      </c>
      <c r="N2" s="176" t="s">
        <v>451</v>
      </c>
      <c r="O2" s="176" t="s">
        <v>410</v>
      </c>
      <c r="P2" s="176" t="s">
        <v>452</v>
      </c>
      <c r="Q2" s="176" t="s">
        <v>410</v>
      </c>
      <c r="R2" s="176" t="s">
        <v>453</v>
      </c>
      <c r="S2" s="176" t="s">
        <v>454</v>
      </c>
      <c r="T2" s="30"/>
      <c r="U2" s="30"/>
      <c r="V2" s="78" t="s">
        <v>455</v>
      </c>
      <c r="W2" s="78" t="s">
        <v>456</v>
      </c>
      <c r="X2" s="78" t="s">
        <v>457</v>
      </c>
      <c r="Y2" s="30"/>
      <c r="Z2" s="78" t="s">
        <v>458</v>
      </c>
      <c r="AA2" s="78" t="s">
        <v>459</v>
      </c>
      <c r="AB2" s="30"/>
      <c r="AC2" s="30"/>
      <c r="AD2" s="78" t="s">
        <v>460</v>
      </c>
      <c r="AE2" s="30"/>
      <c r="AF2" s="1631"/>
      <c r="AG2" s="1631"/>
      <c r="AH2" s="30"/>
      <c r="AI2" s="30"/>
    </row>
    <row r="3" spans="1:35" ht="27.6" x14ac:dyDescent="0.25">
      <c r="A3" s="698" t="s">
        <v>461</v>
      </c>
      <c r="B3" s="91" t="s">
        <v>462</v>
      </c>
      <c r="C3" s="404" t="s">
        <v>463</v>
      </c>
      <c r="D3" s="404" t="s">
        <v>464</v>
      </c>
      <c r="E3" s="404"/>
      <c r="F3" s="382" t="s">
        <v>124</v>
      </c>
      <c r="G3" s="404"/>
      <c r="H3" s="521" t="s">
        <v>465</v>
      </c>
      <c r="I3" s="404"/>
      <c r="J3" s="404" t="s">
        <v>466</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467</v>
      </c>
      <c r="W3" s="404">
        <v>8</v>
      </c>
      <c r="X3" s="467" t="s">
        <v>468</v>
      </c>
      <c r="Z3" s="404" t="s">
        <v>68</v>
      </c>
      <c r="AA3" s="404">
        <v>3</v>
      </c>
      <c r="AD3" s="430" t="s">
        <v>52</v>
      </c>
      <c r="AF3" s="404" t="s">
        <v>124</v>
      </c>
      <c r="AG3" s="404" t="s">
        <v>124</v>
      </c>
    </row>
    <row r="4" spans="1:35" ht="27.6" x14ac:dyDescent="0.25">
      <c r="A4" s="698" t="s">
        <v>469</v>
      </c>
      <c r="B4" s="91" t="s">
        <v>470</v>
      </c>
      <c r="C4" s="404" t="s">
        <v>471</v>
      </c>
      <c r="D4" s="404" t="s">
        <v>464</v>
      </c>
      <c r="E4" s="404"/>
      <c r="F4" s="382" t="s">
        <v>124</v>
      </c>
      <c r="G4" s="404"/>
      <c r="H4" s="521" t="s">
        <v>465</v>
      </c>
      <c r="I4" s="404"/>
      <c r="J4" s="404" t="s">
        <v>466</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472</v>
      </c>
      <c r="AA4" s="404">
        <v>2.5</v>
      </c>
      <c r="AD4" s="430" t="s">
        <v>54</v>
      </c>
      <c r="AF4" s="404" t="s">
        <v>125</v>
      </c>
      <c r="AG4" s="404" t="s">
        <v>125</v>
      </c>
    </row>
    <row r="5" spans="1:35" ht="41.4" x14ac:dyDescent="0.25">
      <c r="A5" s="698" t="s">
        <v>473</v>
      </c>
      <c r="B5" s="91" t="s">
        <v>474</v>
      </c>
      <c r="C5" s="404" t="s">
        <v>475</v>
      </c>
      <c r="D5" s="404" t="s">
        <v>464</v>
      </c>
      <c r="E5" s="404"/>
      <c r="F5" s="382" t="s">
        <v>124</v>
      </c>
      <c r="G5" s="404"/>
      <c r="H5" s="521" t="s">
        <v>465</v>
      </c>
      <c r="I5" s="404"/>
      <c r="J5" s="404" t="s">
        <v>466</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476</v>
      </c>
    </row>
    <row r="6" spans="1:35" ht="27.6" x14ac:dyDescent="0.25">
      <c r="A6" s="698" t="s">
        <v>477</v>
      </c>
      <c r="B6" s="91" t="s">
        <v>478</v>
      </c>
      <c r="C6" s="404" t="s">
        <v>479</v>
      </c>
      <c r="D6" s="404" t="s">
        <v>464</v>
      </c>
      <c r="E6" s="404" t="s">
        <v>480</v>
      </c>
      <c r="F6" s="382" t="s">
        <v>124</v>
      </c>
      <c r="G6" s="404" t="s">
        <v>481</v>
      </c>
      <c r="H6" s="521" t="s">
        <v>465</v>
      </c>
      <c r="I6" s="404" t="s">
        <v>479</v>
      </c>
      <c r="J6" s="404" t="s">
        <v>466</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482</v>
      </c>
      <c r="AA6" s="404">
        <v>1.5</v>
      </c>
      <c r="AF6" s="404" t="s">
        <v>127</v>
      </c>
      <c r="AG6" s="404" t="s">
        <v>127</v>
      </c>
    </row>
    <row r="7" spans="1:35" x14ac:dyDescent="0.25">
      <c r="A7" s="698" t="s">
        <v>483</v>
      </c>
      <c r="B7" s="91" t="s">
        <v>484</v>
      </c>
      <c r="C7" s="404" t="s">
        <v>485</v>
      </c>
      <c r="D7" s="404" t="s">
        <v>464</v>
      </c>
      <c r="E7" s="404"/>
      <c r="F7" s="382" t="s">
        <v>124</v>
      </c>
      <c r="G7" s="404"/>
      <c r="H7" s="521" t="s">
        <v>465</v>
      </c>
      <c r="I7" s="404" t="s">
        <v>485</v>
      </c>
      <c r="J7" s="404" t="s">
        <v>483</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486</v>
      </c>
      <c r="W7" s="404">
        <v>0</v>
      </c>
      <c r="X7" s="471" t="s">
        <v>487</v>
      </c>
      <c r="Z7" s="404" t="s">
        <v>328</v>
      </c>
      <c r="AA7" s="404">
        <v>1</v>
      </c>
      <c r="AF7" s="404" t="s">
        <v>128</v>
      </c>
      <c r="AG7" s="404" t="s">
        <v>488</v>
      </c>
    </row>
    <row r="8" spans="1:35" x14ac:dyDescent="0.25">
      <c r="A8" s="698" t="s">
        <v>489</v>
      </c>
      <c r="B8" s="91" t="s">
        <v>490</v>
      </c>
      <c r="C8" s="404" t="s">
        <v>491</v>
      </c>
      <c r="D8" s="404" t="s">
        <v>464</v>
      </c>
      <c r="E8" s="404"/>
      <c r="F8" s="382" t="s">
        <v>124</v>
      </c>
      <c r="G8" s="404"/>
      <c r="H8" s="521" t="s">
        <v>465</v>
      </c>
      <c r="I8" s="404"/>
      <c r="J8" s="404" t="s">
        <v>483</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492</v>
      </c>
      <c r="AA8" s="404">
        <v>1</v>
      </c>
      <c r="AF8" s="428" t="s">
        <v>129</v>
      </c>
      <c r="AG8" s="428" t="s">
        <v>129</v>
      </c>
    </row>
    <row r="9" spans="1:35" x14ac:dyDescent="0.25">
      <c r="A9" s="698" t="s">
        <v>493</v>
      </c>
      <c r="B9" s="91" t="s">
        <v>494</v>
      </c>
      <c r="C9" s="404" t="s">
        <v>495</v>
      </c>
      <c r="D9" s="404" t="s">
        <v>464</v>
      </c>
      <c r="E9" s="404"/>
      <c r="F9" s="382" t="s">
        <v>124</v>
      </c>
      <c r="G9" s="404"/>
      <c r="H9" s="521" t="s">
        <v>465</v>
      </c>
      <c r="I9" s="404" t="s">
        <v>495</v>
      </c>
      <c r="J9" s="404" t="s">
        <v>493</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496</v>
      </c>
      <c r="AA9" s="404">
        <v>0</v>
      </c>
      <c r="AF9" s="404" t="s">
        <v>130</v>
      </c>
      <c r="AG9" s="404" t="s">
        <v>130</v>
      </c>
    </row>
    <row r="10" spans="1:35" x14ac:dyDescent="0.25">
      <c r="A10" s="698" t="s">
        <v>497</v>
      </c>
      <c r="B10" s="91" t="s">
        <v>498</v>
      </c>
      <c r="C10" s="404" t="s">
        <v>499</v>
      </c>
      <c r="D10" s="404" t="s">
        <v>464</v>
      </c>
      <c r="E10" s="404"/>
      <c r="F10" s="382" t="s">
        <v>124</v>
      </c>
      <c r="G10" s="404"/>
      <c r="H10" s="521" t="s">
        <v>465</v>
      </c>
      <c r="I10" s="404" t="s">
        <v>499</v>
      </c>
      <c r="J10" s="404" t="s">
        <v>497</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500</v>
      </c>
    </row>
    <row r="11" spans="1:35" x14ac:dyDescent="0.25">
      <c r="A11" s="698" t="s">
        <v>501</v>
      </c>
      <c r="B11" s="91" t="s">
        <v>502</v>
      </c>
      <c r="C11" s="404" t="s">
        <v>503</v>
      </c>
      <c r="D11" s="404" t="s">
        <v>464</v>
      </c>
      <c r="E11" s="404"/>
      <c r="F11" s="382" t="s">
        <v>124</v>
      </c>
      <c r="G11" s="404"/>
      <c r="H11" s="521" t="s">
        <v>465</v>
      </c>
      <c r="I11" s="404" t="s">
        <v>503</v>
      </c>
      <c r="J11" s="404" t="s">
        <v>501</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504</v>
      </c>
    </row>
    <row r="12" spans="1:35" ht="28.2" thickBot="1" x14ac:dyDescent="0.3">
      <c r="A12" s="698" t="s">
        <v>505</v>
      </c>
      <c r="B12" s="178" t="s">
        <v>506</v>
      </c>
      <c r="C12" s="388" t="s">
        <v>507</v>
      </c>
      <c r="D12" s="388" t="s">
        <v>464</v>
      </c>
      <c r="E12" s="388"/>
      <c r="F12" s="371" t="s">
        <v>124</v>
      </c>
      <c r="G12" s="388"/>
      <c r="H12" s="522" t="s">
        <v>465</v>
      </c>
      <c r="I12" s="388" t="s">
        <v>507</v>
      </c>
      <c r="J12" s="388" t="s">
        <v>505</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984</v>
      </c>
      <c r="AG12" s="404" t="s">
        <v>1683</v>
      </c>
    </row>
    <row r="13" spans="1:35" x14ac:dyDescent="0.25">
      <c r="A13" s="698" t="s">
        <v>508</v>
      </c>
      <c r="B13" s="179" t="s">
        <v>509</v>
      </c>
      <c r="C13" s="383">
        <v>21</v>
      </c>
      <c r="D13" s="383" t="s">
        <v>464</v>
      </c>
      <c r="E13" s="383"/>
      <c r="F13" s="382" t="s">
        <v>125</v>
      </c>
      <c r="G13" s="383"/>
      <c r="H13" s="523" t="s">
        <v>508</v>
      </c>
      <c r="I13" s="383"/>
      <c r="J13" s="383" t="s">
        <v>508</v>
      </c>
      <c r="K13" s="383" t="s">
        <v>213</v>
      </c>
      <c r="L13" s="383">
        <f t="shared" si="4"/>
        <v>6</v>
      </c>
      <c r="M13" s="519" t="str">
        <f t="shared" si="3"/>
        <v>Same habitat required =</v>
      </c>
      <c r="N13" s="383" t="s">
        <v>216</v>
      </c>
      <c r="O13" s="383">
        <f t="shared" si="1"/>
        <v>1</v>
      </c>
      <c r="P13" s="383" t="s">
        <v>70</v>
      </c>
      <c r="Q13" s="383">
        <f t="shared" si="2"/>
        <v>0.67</v>
      </c>
      <c r="R13" s="370"/>
      <c r="S13" s="383"/>
      <c r="AF13" s="404" t="s">
        <v>987</v>
      </c>
      <c r="AG13" s="404" t="s">
        <v>1684</v>
      </c>
    </row>
    <row r="14" spans="1:35" x14ac:dyDescent="0.25">
      <c r="A14" s="698" t="s">
        <v>510</v>
      </c>
      <c r="B14" s="91" t="s">
        <v>511</v>
      </c>
      <c r="C14" s="404" t="s">
        <v>512</v>
      </c>
      <c r="D14" s="404" t="s">
        <v>464</v>
      </c>
      <c r="E14" s="404"/>
      <c r="F14" s="382" t="s">
        <v>125</v>
      </c>
      <c r="G14" s="404"/>
      <c r="H14" s="521" t="s">
        <v>513</v>
      </c>
      <c r="I14" s="404" t="s">
        <v>512</v>
      </c>
      <c r="J14" s="404" t="s">
        <v>510</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514</v>
      </c>
    </row>
    <row r="15" spans="1:35" ht="27.6" x14ac:dyDescent="0.25">
      <c r="A15" s="698" t="s">
        <v>515</v>
      </c>
      <c r="B15" s="91" t="s">
        <v>516</v>
      </c>
      <c r="C15" s="404" t="s">
        <v>517</v>
      </c>
      <c r="D15" s="404" t="s">
        <v>464</v>
      </c>
      <c r="E15" s="404"/>
      <c r="F15" s="382" t="s">
        <v>125</v>
      </c>
      <c r="G15" s="404"/>
      <c r="H15" s="521" t="s">
        <v>518</v>
      </c>
      <c r="I15" s="404"/>
      <c r="J15" s="404" t="s">
        <v>518</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519</v>
      </c>
    </row>
    <row r="16" spans="1:35" x14ac:dyDescent="0.25">
      <c r="A16" s="698" t="s">
        <v>520</v>
      </c>
      <c r="B16" s="91" t="s">
        <v>521</v>
      </c>
      <c r="C16" s="404" t="s">
        <v>522</v>
      </c>
      <c r="D16" s="404" t="s">
        <v>464</v>
      </c>
      <c r="E16" s="404"/>
      <c r="F16" s="382" t="s">
        <v>125</v>
      </c>
      <c r="G16" s="404" t="s">
        <v>523</v>
      </c>
      <c r="H16" s="521" t="s">
        <v>524</v>
      </c>
      <c r="I16" s="404" t="s">
        <v>522</v>
      </c>
      <c r="J16" s="429" t="s">
        <v>520</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525</v>
      </c>
    </row>
    <row r="17" spans="1:33" x14ac:dyDescent="0.25">
      <c r="A17" s="698" t="s">
        <v>526</v>
      </c>
      <c r="B17" s="91" t="s">
        <v>527</v>
      </c>
      <c r="C17" s="404" t="s">
        <v>528</v>
      </c>
      <c r="D17" s="404" t="s">
        <v>464</v>
      </c>
      <c r="E17" s="404" t="s">
        <v>529</v>
      </c>
      <c r="F17" s="382" t="s">
        <v>125</v>
      </c>
      <c r="G17" s="404" t="s">
        <v>530</v>
      </c>
      <c r="H17" s="521" t="s">
        <v>513</v>
      </c>
      <c r="I17" s="404" t="s">
        <v>528</v>
      </c>
      <c r="J17" s="429" t="s">
        <v>526</v>
      </c>
      <c r="K17" s="404" t="s">
        <v>467</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531</v>
      </c>
    </row>
    <row r="18" spans="1:33" x14ac:dyDescent="0.25">
      <c r="A18" s="698" t="s">
        <v>532</v>
      </c>
      <c r="B18" s="91" t="s">
        <v>533</v>
      </c>
      <c r="C18" s="404" t="s">
        <v>534</v>
      </c>
      <c r="D18" s="404" t="s">
        <v>464</v>
      </c>
      <c r="E18" s="404"/>
      <c r="F18" s="382" t="s">
        <v>125</v>
      </c>
      <c r="G18" s="404" t="s">
        <v>535</v>
      </c>
      <c r="H18" s="521" t="s">
        <v>536</v>
      </c>
      <c r="I18" s="404" t="s">
        <v>534</v>
      </c>
      <c r="J18" s="429" t="s">
        <v>532</v>
      </c>
      <c r="K18" s="404" t="s">
        <v>467</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25">
      <c r="A19" s="698" t="s">
        <v>537</v>
      </c>
      <c r="B19" s="91" t="s">
        <v>538</v>
      </c>
      <c r="C19" s="404" t="s">
        <v>539</v>
      </c>
      <c r="D19" s="404" t="s">
        <v>464</v>
      </c>
      <c r="E19" s="404"/>
      <c r="F19" s="382" t="s">
        <v>125</v>
      </c>
      <c r="G19" s="404" t="s">
        <v>539</v>
      </c>
      <c r="H19" s="521" t="s">
        <v>537</v>
      </c>
      <c r="I19" s="382" t="s">
        <v>540</v>
      </c>
      <c r="J19" s="382" t="s">
        <v>537</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25">
      <c r="A20" s="698" t="s">
        <v>541</v>
      </c>
      <c r="B20" s="91" t="s">
        <v>542</v>
      </c>
      <c r="C20" s="404" t="s">
        <v>543</v>
      </c>
      <c r="D20" s="404" t="s">
        <v>464</v>
      </c>
      <c r="E20" s="404"/>
      <c r="F20" s="382" t="s">
        <v>125</v>
      </c>
      <c r="G20" s="404"/>
      <c r="H20" s="521" t="s">
        <v>513</v>
      </c>
      <c r="I20" s="404" t="s">
        <v>543</v>
      </c>
      <c r="J20" s="404" t="s">
        <v>541</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25">
      <c r="A21" s="698" t="s">
        <v>544</v>
      </c>
      <c r="B21" s="91" t="s">
        <v>545</v>
      </c>
      <c r="C21" s="404" t="s">
        <v>546</v>
      </c>
      <c r="D21" s="404" t="s">
        <v>464</v>
      </c>
      <c r="E21" s="404"/>
      <c r="F21" s="382" t="s">
        <v>125</v>
      </c>
      <c r="G21" s="404"/>
      <c r="H21" s="521" t="s">
        <v>536</v>
      </c>
      <c r="I21" s="404" t="s">
        <v>546</v>
      </c>
      <c r="J21" s="404" t="s">
        <v>544</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x14ac:dyDescent="0.25">
      <c r="A22" s="698" t="s">
        <v>547</v>
      </c>
      <c r="B22" s="91" t="s">
        <v>548</v>
      </c>
      <c r="C22" s="404" t="s">
        <v>549</v>
      </c>
      <c r="D22" s="404" t="s">
        <v>464</v>
      </c>
      <c r="E22" s="404"/>
      <c r="F22" s="382" t="s">
        <v>125</v>
      </c>
      <c r="G22" s="404" t="s">
        <v>550</v>
      </c>
      <c r="H22" s="521" t="s">
        <v>551</v>
      </c>
      <c r="I22" s="382"/>
      <c r="J22" s="404" t="s">
        <v>552</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25">
      <c r="A23" s="698" t="s">
        <v>553</v>
      </c>
      <c r="B23" s="91" t="s">
        <v>554</v>
      </c>
      <c r="C23" s="404" t="s">
        <v>555</v>
      </c>
      <c r="D23" s="404" t="s">
        <v>464</v>
      </c>
      <c r="E23" s="404"/>
      <c r="F23" s="382" t="s">
        <v>125</v>
      </c>
      <c r="G23" s="404"/>
      <c r="H23" s="521" t="s">
        <v>513</v>
      </c>
      <c r="I23" s="404" t="s">
        <v>555</v>
      </c>
      <c r="J23" s="429" t="s">
        <v>553</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25">
      <c r="A24" s="698" t="s">
        <v>556</v>
      </c>
      <c r="B24" s="91" t="s">
        <v>557</v>
      </c>
      <c r="C24" s="404" t="s">
        <v>558</v>
      </c>
      <c r="D24" s="404" t="s">
        <v>464</v>
      </c>
      <c r="E24" s="404"/>
      <c r="F24" s="382" t="s">
        <v>125</v>
      </c>
      <c r="G24" s="404"/>
      <c r="H24" s="521" t="s">
        <v>524</v>
      </c>
      <c r="I24" s="404" t="s">
        <v>558</v>
      </c>
      <c r="J24" s="429" t="s">
        <v>556</v>
      </c>
      <c r="K24" s="404" t="s">
        <v>213</v>
      </c>
      <c r="L24" s="404">
        <f t="shared" si="4"/>
        <v>6</v>
      </c>
      <c r="M24" s="517" t="str">
        <f t="shared" si="3"/>
        <v>Same habitat required =</v>
      </c>
      <c r="N24" s="404" t="s">
        <v>213</v>
      </c>
      <c r="O24" s="404">
        <f t="shared" si="1"/>
        <v>0.33</v>
      </c>
      <c r="P24" s="404" t="s">
        <v>213</v>
      </c>
      <c r="Q24" s="404">
        <f t="shared" si="2"/>
        <v>0.33</v>
      </c>
      <c r="R24" s="382"/>
      <c r="S24" s="404"/>
    </row>
    <row r="25" spans="1:33" ht="14.4" thickBot="1" x14ac:dyDescent="0.3">
      <c r="A25" s="698" t="s">
        <v>559</v>
      </c>
      <c r="B25" s="178" t="s">
        <v>560</v>
      </c>
      <c r="C25" s="388" t="s">
        <v>561</v>
      </c>
      <c r="D25" s="388" t="s">
        <v>464</v>
      </c>
      <c r="E25" s="388"/>
      <c r="F25" s="371" t="s">
        <v>125</v>
      </c>
      <c r="G25" s="388"/>
      <c r="H25" s="522" t="s">
        <v>536</v>
      </c>
      <c r="I25" s="388" t="s">
        <v>561</v>
      </c>
      <c r="J25" s="431" t="s">
        <v>559</v>
      </c>
      <c r="K25" s="388" t="s">
        <v>467</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25">
      <c r="A26" s="698" t="s">
        <v>562</v>
      </c>
      <c r="B26" s="179" t="s">
        <v>563</v>
      </c>
      <c r="C26" s="383" t="s">
        <v>564</v>
      </c>
      <c r="D26" s="383" t="s">
        <v>464</v>
      </c>
      <c r="E26" s="383"/>
      <c r="F26" s="370" t="s">
        <v>126</v>
      </c>
      <c r="G26" s="383" t="s">
        <v>565</v>
      </c>
      <c r="H26" s="523" t="s">
        <v>566</v>
      </c>
      <c r="I26" s="383" t="s">
        <v>564</v>
      </c>
      <c r="J26" s="383" t="s">
        <v>562</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25">
      <c r="A27" s="698" t="s">
        <v>567</v>
      </c>
      <c r="B27" s="91" t="s">
        <v>568</v>
      </c>
      <c r="C27" s="404" t="s">
        <v>569</v>
      </c>
      <c r="D27" s="404" t="s">
        <v>464</v>
      </c>
      <c r="E27" s="404"/>
      <c r="F27" s="382" t="s">
        <v>126</v>
      </c>
      <c r="G27" s="404"/>
      <c r="H27" s="521" t="s">
        <v>566</v>
      </c>
      <c r="I27" s="404" t="s">
        <v>569</v>
      </c>
      <c r="J27" s="404" t="s">
        <v>567</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25">
      <c r="A28" s="698" t="s">
        <v>570</v>
      </c>
      <c r="B28" s="91" t="s">
        <v>571</v>
      </c>
      <c r="C28" s="404" t="s">
        <v>572</v>
      </c>
      <c r="D28" s="404" t="s">
        <v>464</v>
      </c>
      <c r="E28" s="404"/>
      <c r="F28" s="382" t="s">
        <v>126</v>
      </c>
      <c r="G28" s="404"/>
      <c r="H28" s="521" t="s">
        <v>566</v>
      </c>
      <c r="I28" s="404" t="s">
        <v>572</v>
      </c>
      <c r="J28" s="404" t="s">
        <v>570</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25">
      <c r="A29" s="698" t="s">
        <v>573</v>
      </c>
      <c r="B29" s="91" t="s">
        <v>574</v>
      </c>
      <c r="C29" s="404" t="s">
        <v>575</v>
      </c>
      <c r="D29" s="404" t="s">
        <v>464</v>
      </c>
      <c r="E29" s="404"/>
      <c r="F29" s="382" t="s">
        <v>126</v>
      </c>
      <c r="G29" s="404"/>
      <c r="H29" s="521" t="s">
        <v>566</v>
      </c>
      <c r="I29" s="404" t="s">
        <v>575</v>
      </c>
      <c r="J29" s="404" t="s">
        <v>573</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25">
      <c r="A30" s="698" t="s">
        <v>576</v>
      </c>
      <c r="B30" s="91" t="s">
        <v>577</v>
      </c>
      <c r="C30" s="404" t="s">
        <v>578</v>
      </c>
      <c r="D30" s="404" t="s">
        <v>464</v>
      </c>
      <c r="E30" s="404"/>
      <c r="F30" s="382" t="s">
        <v>126</v>
      </c>
      <c r="G30" s="404"/>
      <c r="H30" s="521" t="s">
        <v>566</v>
      </c>
      <c r="I30" s="404" t="s">
        <v>578</v>
      </c>
      <c r="J30" s="404" t="s">
        <v>576</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25">
      <c r="A31" s="698" t="s">
        <v>579</v>
      </c>
      <c r="B31" s="91" t="s">
        <v>580</v>
      </c>
      <c r="C31" s="404" t="s">
        <v>581</v>
      </c>
      <c r="D31" s="404" t="s">
        <v>464</v>
      </c>
      <c r="E31" s="404" t="s">
        <v>582</v>
      </c>
      <c r="F31" s="382" t="s">
        <v>126</v>
      </c>
      <c r="G31" s="404" t="s">
        <v>583</v>
      </c>
      <c r="H31" s="521" t="s">
        <v>584</v>
      </c>
      <c r="I31" s="404" t="s">
        <v>581</v>
      </c>
      <c r="J31" s="429" t="s">
        <v>585</v>
      </c>
      <c r="K31" s="404" t="s">
        <v>213</v>
      </c>
      <c r="L31" s="404">
        <f t="shared" si="4"/>
        <v>6</v>
      </c>
      <c r="M31" s="517" t="str">
        <f t="shared" si="3"/>
        <v>Same habitat required =</v>
      </c>
      <c r="N31" s="404" t="s">
        <v>213</v>
      </c>
      <c r="O31" s="404">
        <f t="shared" si="1"/>
        <v>0.33</v>
      </c>
      <c r="P31" s="404" t="s">
        <v>70</v>
      </c>
      <c r="Q31" s="404">
        <f t="shared" si="2"/>
        <v>0.67</v>
      </c>
      <c r="R31" s="382"/>
      <c r="S31" s="404"/>
    </row>
    <row r="32" spans="1:33" ht="27.6" x14ac:dyDescent="0.25">
      <c r="A32" s="698" t="s">
        <v>586</v>
      </c>
      <c r="B32" s="91" t="s">
        <v>587</v>
      </c>
      <c r="C32" s="404" t="s">
        <v>588</v>
      </c>
      <c r="D32" s="404" t="s">
        <v>464</v>
      </c>
      <c r="E32" s="404"/>
      <c r="F32" s="382" t="s">
        <v>126</v>
      </c>
      <c r="G32" s="404"/>
      <c r="H32" s="521" t="s">
        <v>566</v>
      </c>
      <c r="I32" s="404" t="s">
        <v>588</v>
      </c>
      <c r="J32" s="404" t="s">
        <v>586</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589</v>
      </c>
      <c r="S32" s="404"/>
    </row>
    <row r="33" spans="1:19" ht="27.6" x14ac:dyDescent="0.25">
      <c r="A33" s="698" t="s">
        <v>590</v>
      </c>
      <c r="B33" s="91" t="s">
        <v>591</v>
      </c>
      <c r="C33" s="404" t="s">
        <v>592</v>
      </c>
      <c r="D33" s="404" t="s">
        <v>464</v>
      </c>
      <c r="E33" s="404"/>
      <c r="F33" s="382" t="s">
        <v>126</v>
      </c>
      <c r="G33" s="404"/>
      <c r="H33" s="521" t="s">
        <v>584</v>
      </c>
      <c r="I33" s="404" t="s">
        <v>592</v>
      </c>
      <c r="J33" s="429" t="s">
        <v>590</v>
      </c>
      <c r="K33" s="404" t="s">
        <v>467</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25">
      <c r="A34" s="698" t="s">
        <v>593</v>
      </c>
      <c r="B34" s="91" t="s">
        <v>594</v>
      </c>
      <c r="C34" s="404" t="s">
        <v>595</v>
      </c>
      <c r="D34" s="404" t="s">
        <v>464</v>
      </c>
      <c r="E34" s="404"/>
      <c r="F34" s="382" t="s">
        <v>126</v>
      </c>
      <c r="G34" s="404"/>
      <c r="H34" s="521" t="s">
        <v>566</v>
      </c>
      <c r="I34" s="404" t="s">
        <v>595</v>
      </c>
      <c r="J34" s="404" t="s">
        <v>593</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27.6" x14ac:dyDescent="0.25">
      <c r="A35" s="698" t="s">
        <v>596</v>
      </c>
      <c r="B35" s="91" t="s">
        <v>597</v>
      </c>
      <c r="C35" s="404" t="s">
        <v>598</v>
      </c>
      <c r="D35" s="404" t="s">
        <v>464</v>
      </c>
      <c r="E35" s="404"/>
      <c r="F35" s="382" t="s">
        <v>126</v>
      </c>
      <c r="G35" s="404"/>
      <c r="H35" s="521" t="s">
        <v>566</v>
      </c>
      <c r="I35" s="404" t="s">
        <v>599</v>
      </c>
      <c r="J35" s="404" t="s">
        <v>600</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25">
      <c r="A36" s="698" t="s">
        <v>601</v>
      </c>
      <c r="B36" s="91" t="s">
        <v>602</v>
      </c>
      <c r="C36" s="404" t="s">
        <v>603</v>
      </c>
      <c r="D36" s="404" t="s">
        <v>464</v>
      </c>
      <c r="E36" s="404"/>
      <c r="F36" s="382" t="s">
        <v>126</v>
      </c>
      <c r="G36" s="404"/>
      <c r="H36" s="521" t="s">
        <v>566</v>
      </c>
      <c r="I36" s="404" t="s">
        <v>599</v>
      </c>
      <c r="J36" s="404" t="s">
        <v>604</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25">
      <c r="A37" s="698" t="s">
        <v>605</v>
      </c>
      <c r="B37" s="558" t="s">
        <v>606</v>
      </c>
      <c r="C37" s="559" t="s">
        <v>607</v>
      </c>
      <c r="D37" s="559" t="s">
        <v>464</v>
      </c>
      <c r="E37" s="559"/>
      <c r="F37" s="395" t="s">
        <v>126</v>
      </c>
      <c r="G37" s="559"/>
      <c r="H37" s="560" t="s">
        <v>566</v>
      </c>
      <c r="I37" s="559" t="s">
        <v>607</v>
      </c>
      <c r="J37" s="559" t="s">
        <v>605</v>
      </c>
      <c r="K37" s="559" t="s">
        <v>70</v>
      </c>
      <c r="L37" s="559">
        <v>4</v>
      </c>
      <c r="M37" s="561" t="s">
        <v>215</v>
      </c>
      <c r="N37" s="559" t="s">
        <v>70</v>
      </c>
      <c r="O37" s="559">
        <v>0.67</v>
      </c>
      <c r="P37" s="559" t="s">
        <v>216</v>
      </c>
      <c r="Q37" s="559">
        <v>1</v>
      </c>
      <c r="R37" s="395"/>
      <c r="S37" s="559"/>
    </row>
    <row r="38" spans="1:19" ht="14.4" thickBot="1" x14ac:dyDescent="0.3">
      <c r="A38" s="698" t="s">
        <v>608</v>
      </c>
      <c r="B38" s="178" t="s">
        <v>609</v>
      </c>
      <c r="C38" s="388" t="s">
        <v>610</v>
      </c>
      <c r="D38" s="388" t="s">
        <v>464</v>
      </c>
      <c r="E38" s="388"/>
      <c r="F38" s="371" t="s">
        <v>126</v>
      </c>
      <c r="G38" s="388"/>
      <c r="H38" s="522" t="s">
        <v>584</v>
      </c>
      <c r="I38" s="388" t="s">
        <v>610</v>
      </c>
      <c r="J38" s="431" t="s">
        <v>611</v>
      </c>
      <c r="K38" s="388" t="s">
        <v>213</v>
      </c>
      <c r="L38" s="388">
        <f t="shared" si="4"/>
        <v>6</v>
      </c>
      <c r="M38" s="518" t="str">
        <f t="shared" si="3"/>
        <v>Same habitat required =</v>
      </c>
      <c r="N38" s="388" t="s">
        <v>70</v>
      </c>
      <c r="O38" s="388">
        <f t="shared" si="5"/>
        <v>0.67</v>
      </c>
      <c r="P38" s="388" t="s">
        <v>70</v>
      </c>
      <c r="Q38" s="388">
        <f t="shared" si="6"/>
        <v>0.67</v>
      </c>
      <c r="R38" s="371"/>
      <c r="S38" s="388"/>
    </row>
    <row r="39" spans="1:19" ht="27.6" x14ac:dyDescent="0.25">
      <c r="A39" s="698" t="s">
        <v>612</v>
      </c>
      <c r="B39" s="179" t="s">
        <v>613</v>
      </c>
      <c r="C39" s="383" t="s">
        <v>614</v>
      </c>
      <c r="D39" s="383" t="s">
        <v>615</v>
      </c>
      <c r="E39" s="383"/>
      <c r="F39" s="370" t="s">
        <v>127</v>
      </c>
      <c r="G39" s="383"/>
      <c r="H39" s="523" t="s">
        <v>616</v>
      </c>
      <c r="I39" s="383" t="s">
        <v>614</v>
      </c>
      <c r="J39" s="432" t="s">
        <v>612</v>
      </c>
      <c r="K39" s="383" t="s">
        <v>467</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25">
      <c r="A40" s="698" t="s">
        <v>617</v>
      </c>
      <c r="B40" s="91" t="s">
        <v>618</v>
      </c>
      <c r="C40" s="404">
        <v>362</v>
      </c>
      <c r="D40" s="404" t="s">
        <v>464</v>
      </c>
      <c r="E40" s="404"/>
      <c r="F40" s="370" t="s">
        <v>127</v>
      </c>
      <c r="G40" s="404"/>
      <c r="H40" s="521" t="s">
        <v>619</v>
      </c>
      <c r="I40" s="404"/>
      <c r="J40" s="404" t="s">
        <v>617</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25">
      <c r="A41" s="698" t="s">
        <v>620</v>
      </c>
      <c r="B41" s="91" t="s">
        <v>621</v>
      </c>
      <c r="C41" s="404" t="s">
        <v>622</v>
      </c>
      <c r="D41" s="404" t="s">
        <v>615</v>
      </c>
      <c r="E41" s="404"/>
      <c r="F41" s="382" t="s">
        <v>127</v>
      </c>
      <c r="G41" s="404"/>
      <c r="H41" s="521" t="s">
        <v>616</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25">
      <c r="A42" s="698" t="s">
        <v>623</v>
      </c>
      <c r="B42" s="91" t="s">
        <v>624</v>
      </c>
      <c r="C42" s="404" t="s">
        <v>625</v>
      </c>
      <c r="D42" s="404" t="s">
        <v>615</v>
      </c>
      <c r="E42" s="404"/>
      <c r="F42" s="382" t="s">
        <v>127</v>
      </c>
      <c r="G42" s="404"/>
      <c r="H42" s="521" t="s">
        <v>616</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25">
      <c r="A43" s="698" t="s">
        <v>626</v>
      </c>
      <c r="B43" s="91" t="s">
        <v>627</v>
      </c>
      <c r="C43" s="404" t="s">
        <v>628</v>
      </c>
      <c r="D43" s="404" t="s">
        <v>615</v>
      </c>
      <c r="E43" s="404"/>
      <c r="F43" s="382" t="s">
        <v>127</v>
      </c>
      <c r="G43" s="404"/>
      <c r="H43" s="521" t="s">
        <v>616</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25">
      <c r="A44" s="698" t="s">
        <v>629</v>
      </c>
      <c r="B44" s="91" t="s">
        <v>630</v>
      </c>
      <c r="C44" s="404" t="s">
        <v>631</v>
      </c>
      <c r="D44" s="404" t="s">
        <v>615</v>
      </c>
      <c r="E44" s="404"/>
      <c r="F44" s="382" t="s">
        <v>127</v>
      </c>
      <c r="G44" s="404"/>
      <c r="H44" s="521" t="s">
        <v>616</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25">
      <c r="A45" s="698" t="s">
        <v>632</v>
      </c>
      <c r="B45" s="91" t="s">
        <v>633</v>
      </c>
      <c r="C45" s="404" t="s">
        <v>634</v>
      </c>
      <c r="D45" s="404" t="s">
        <v>615</v>
      </c>
      <c r="E45" s="404"/>
      <c r="F45" s="382" t="s">
        <v>127</v>
      </c>
      <c r="G45" s="404"/>
      <c r="H45" s="521" t="s">
        <v>616</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25">
      <c r="A46" s="698" t="s">
        <v>635</v>
      </c>
      <c r="B46" s="91" t="s">
        <v>636</v>
      </c>
      <c r="C46" s="404" t="s">
        <v>637</v>
      </c>
      <c r="D46" s="404" t="s">
        <v>615</v>
      </c>
      <c r="E46" s="404"/>
      <c r="F46" s="382" t="s">
        <v>127</v>
      </c>
      <c r="G46" s="404"/>
      <c r="H46" s="521" t="s">
        <v>616</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25">
      <c r="A47" s="698" t="s">
        <v>638</v>
      </c>
      <c r="B47" s="91" t="s">
        <v>639</v>
      </c>
      <c r="C47" s="404" t="s">
        <v>640</v>
      </c>
      <c r="D47" s="404" t="s">
        <v>615</v>
      </c>
      <c r="E47" s="404"/>
      <c r="F47" s="382" t="s">
        <v>127</v>
      </c>
      <c r="G47" s="404"/>
      <c r="H47" s="521" t="s">
        <v>616</v>
      </c>
      <c r="I47" s="404" t="s">
        <v>641</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25">
      <c r="A48" s="698" t="s">
        <v>642</v>
      </c>
      <c r="B48" s="91" t="s">
        <v>643</v>
      </c>
      <c r="C48" s="404">
        <v>108</v>
      </c>
      <c r="D48" s="404" t="s">
        <v>615</v>
      </c>
      <c r="E48" s="404"/>
      <c r="F48" s="382" t="s">
        <v>127</v>
      </c>
      <c r="G48" s="404"/>
      <c r="H48" s="521" t="s">
        <v>616</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8.2" thickBot="1" x14ac:dyDescent="0.3">
      <c r="A49" s="698" t="s">
        <v>644</v>
      </c>
      <c r="B49" s="178" t="s">
        <v>645</v>
      </c>
      <c r="C49" s="404" t="s">
        <v>646</v>
      </c>
      <c r="D49" s="388" t="s">
        <v>615</v>
      </c>
      <c r="E49" s="388"/>
      <c r="F49" s="371" t="s">
        <v>127</v>
      </c>
      <c r="G49" s="388"/>
      <c r="H49" s="522" t="s">
        <v>616</v>
      </c>
      <c r="I49" s="388" t="s">
        <v>647</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25">
      <c r="A50" s="698" t="s">
        <v>648</v>
      </c>
      <c r="B50" s="179" t="s">
        <v>649</v>
      </c>
      <c r="C50" s="383" t="s">
        <v>650</v>
      </c>
      <c r="D50" s="383" t="s">
        <v>615</v>
      </c>
      <c r="E50" s="383"/>
      <c r="F50" s="370" t="s">
        <v>128</v>
      </c>
      <c r="G50" s="383"/>
      <c r="H50" s="523" t="s">
        <v>651</v>
      </c>
      <c r="I50" s="383"/>
      <c r="J50" s="432" t="s">
        <v>648</v>
      </c>
      <c r="K50" s="383" t="s">
        <v>467</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25">
      <c r="A51" s="698" t="s">
        <v>652</v>
      </c>
      <c r="B51" s="91" t="s">
        <v>653</v>
      </c>
      <c r="C51" s="404" t="s">
        <v>654</v>
      </c>
      <c r="D51" s="404" t="s">
        <v>615</v>
      </c>
      <c r="E51" s="404"/>
      <c r="F51" s="382" t="s">
        <v>128</v>
      </c>
      <c r="G51" s="404"/>
      <c r="H51" s="521" t="s">
        <v>655</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25">
      <c r="A52" s="698" t="s">
        <v>656</v>
      </c>
      <c r="B52" s="91" t="s">
        <v>657</v>
      </c>
      <c r="C52" s="404" t="s">
        <v>658</v>
      </c>
      <c r="D52" s="404" t="s">
        <v>464</v>
      </c>
      <c r="E52" s="404"/>
      <c r="F52" s="382" t="s">
        <v>128</v>
      </c>
      <c r="G52" s="404"/>
      <c r="H52" s="521" t="s">
        <v>655</v>
      </c>
      <c r="I52" s="404" t="s">
        <v>650</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x14ac:dyDescent="0.25">
      <c r="A53" s="698" t="s">
        <v>659</v>
      </c>
      <c r="B53" s="91" t="s">
        <v>660</v>
      </c>
      <c r="C53" s="404">
        <v>17</v>
      </c>
      <c r="D53" s="404" t="s">
        <v>464</v>
      </c>
      <c r="E53" s="404"/>
      <c r="F53" s="382" t="s">
        <v>128</v>
      </c>
      <c r="G53" s="404"/>
      <c r="H53" s="521"/>
      <c r="I53" s="404"/>
      <c r="J53" s="404" t="s">
        <v>661</v>
      </c>
      <c r="K53" s="404" t="s">
        <v>216</v>
      </c>
      <c r="L53" s="404">
        <f t="shared" si="8"/>
        <v>2</v>
      </c>
      <c r="M53" s="517" t="str">
        <f t="shared" si="3"/>
        <v>Same distinctiveness or better habitat required ≥</v>
      </c>
      <c r="N53" s="404" t="s">
        <v>216</v>
      </c>
      <c r="O53" s="404">
        <f t="shared" si="5"/>
        <v>1</v>
      </c>
      <c r="P53" s="404" t="s">
        <v>70</v>
      </c>
      <c r="Q53" s="404">
        <f t="shared" si="6"/>
        <v>0.67</v>
      </c>
      <c r="R53" s="382" t="s">
        <v>662</v>
      </c>
      <c r="S53" s="404"/>
    </row>
    <row r="54" spans="1:19" x14ac:dyDescent="0.25">
      <c r="A54" s="698" t="s">
        <v>663</v>
      </c>
      <c r="B54" s="91" t="s">
        <v>664</v>
      </c>
      <c r="C54" s="404">
        <v>16</v>
      </c>
      <c r="D54" s="404" t="s">
        <v>464</v>
      </c>
      <c r="E54" s="404"/>
      <c r="F54" s="382" t="s">
        <v>128</v>
      </c>
      <c r="G54" s="404"/>
      <c r="H54" s="521"/>
      <c r="I54" s="404"/>
      <c r="J54" s="404" t="s">
        <v>661</v>
      </c>
      <c r="K54" s="404" t="s">
        <v>216</v>
      </c>
      <c r="L54" s="404">
        <v>2</v>
      </c>
      <c r="M54" s="517" t="str">
        <f t="shared" si="3"/>
        <v>Same distinctiveness or better habitat required ≥</v>
      </c>
      <c r="N54" s="404" t="s">
        <v>216</v>
      </c>
      <c r="O54" s="404">
        <v>1</v>
      </c>
      <c r="P54" s="404" t="s">
        <v>70</v>
      </c>
      <c r="Q54" s="404">
        <v>0.67</v>
      </c>
      <c r="R54" s="382"/>
      <c r="S54" s="404"/>
    </row>
    <row r="55" spans="1:19" ht="27.6" x14ac:dyDescent="0.25">
      <c r="A55" s="698" t="s">
        <v>665</v>
      </c>
      <c r="B55" s="91" t="s">
        <v>666</v>
      </c>
      <c r="C55" s="404" t="s">
        <v>667</v>
      </c>
      <c r="D55" s="404" t="s">
        <v>464</v>
      </c>
      <c r="E55" s="404" t="s">
        <v>668</v>
      </c>
      <c r="F55" s="382" t="s">
        <v>128</v>
      </c>
      <c r="G55" s="404" t="s">
        <v>669</v>
      </c>
      <c r="H55" s="521" t="s">
        <v>651</v>
      </c>
      <c r="I55" s="404" t="s">
        <v>667</v>
      </c>
      <c r="J55" s="429" t="s">
        <v>665</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25">
      <c r="A56" s="698" t="s">
        <v>670</v>
      </c>
      <c r="B56" s="91" t="s">
        <v>671</v>
      </c>
      <c r="C56" s="404" t="s">
        <v>672</v>
      </c>
      <c r="D56" s="404" t="s">
        <v>464</v>
      </c>
      <c r="E56" s="404"/>
      <c r="F56" s="382" t="s">
        <v>128</v>
      </c>
      <c r="G56" s="404"/>
      <c r="H56" s="521" t="s">
        <v>651</v>
      </c>
      <c r="I56" s="404" t="s">
        <v>672</v>
      </c>
      <c r="J56" s="429" t="s">
        <v>670</v>
      </c>
      <c r="K56" s="404" t="s">
        <v>467</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25">
      <c r="A57" s="698" t="s">
        <v>673</v>
      </c>
      <c r="B57" s="91" t="s">
        <v>674</v>
      </c>
      <c r="C57" s="404" t="s">
        <v>675</v>
      </c>
      <c r="D57" s="404" t="s">
        <v>464</v>
      </c>
      <c r="E57" s="404"/>
      <c r="F57" s="382" t="s">
        <v>128</v>
      </c>
      <c r="G57" s="404" t="s">
        <v>676</v>
      </c>
      <c r="H57" s="521" t="s">
        <v>677</v>
      </c>
      <c r="I57" s="404" t="s">
        <v>675</v>
      </c>
      <c r="J57" s="429" t="s">
        <v>673</v>
      </c>
      <c r="K57" s="404" t="s">
        <v>213</v>
      </c>
      <c r="L57" s="404">
        <f t="shared" si="8"/>
        <v>6</v>
      </c>
      <c r="M57" s="517" t="str">
        <f t="shared" si="3"/>
        <v>Same habitat required =</v>
      </c>
      <c r="N57" s="404" t="s">
        <v>213</v>
      </c>
      <c r="O57" s="404">
        <f t="shared" si="5"/>
        <v>0.33</v>
      </c>
      <c r="P57" s="404" t="s">
        <v>70</v>
      </c>
      <c r="Q57" s="404">
        <f t="shared" si="6"/>
        <v>0.67</v>
      </c>
      <c r="R57" s="382"/>
      <c r="S57" s="404"/>
    </row>
    <row r="58" spans="1:19" ht="14.4" thickBot="1" x14ac:dyDescent="0.3">
      <c r="A58" s="698" t="s">
        <v>678</v>
      </c>
      <c r="B58" s="178" t="s">
        <v>679</v>
      </c>
      <c r="C58" s="388" t="s">
        <v>680</v>
      </c>
      <c r="D58" s="388" t="s">
        <v>464</v>
      </c>
      <c r="E58" s="388"/>
      <c r="F58" s="371" t="s">
        <v>128</v>
      </c>
      <c r="G58" s="388"/>
      <c r="H58" s="522" t="s">
        <v>651</v>
      </c>
      <c r="I58" s="388" t="s">
        <v>680</v>
      </c>
      <c r="J58" s="388" t="s">
        <v>678</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25">
      <c r="A59" s="698" t="s">
        <v>681</v>
      </c>
      <c r="B59" s="179" t="s">
        <v>682</v>
      </c>
      <c r="C59" s="383">
        <v>910</v>
      </c>
      <c r="D59" s="383" t="s">
        <v>464</v>
      </c>
      <c r="E59" s="383"/>
      <c r="F59" s="370" t="s">
        <v>129</v>
      </c>
      <c r="G59" s="383"/>
      <c r="H59" s="523" t="s">
        <v>619</v>
      </c>
      <c r="I59" s="383"/>
      <c r="J59" s="383" t="s">
        <v>681</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7.6" x14ac:dyDescent="0.25">
      <c r="A60" s="698" t="s">
        <v>683</v>
      </c>
      <c r="B60" s="91" t="s">
        <v>684</v>
      </c>
      <c r="C60" s="404" t="s">
        <v>685</v>
      </c>
      <c r="D60" s="404" t="s">
        <v>464</v>
      </c>
      <c r="E60" s="404"/>
      <c r="F60" s="382" t="s">
        <v>129</v>
      </c>
      <c r="G60" s="404"/>
      <c r="H60" s="521" t="s">
        <v>619</v>
      </c>
      <c r="I60" s="404" t="s">
        <v>685</v>
      </c>
      <c r="J60" s="404" t="s">
        <v>683</v>
      </c>
      <c r="K60" s="404" t="s">
        <v>486</v>
      </c>
      <c r="L60" s="404">
        <f t="shared" si="8"/>
        <v>0</v>
      </c>
      <c r="M60" s="517" t="str">
        <f t="shared" si="3"/>
        <v>Compensation Not Required</v>
      </c>
      <c r="N60" s="404" t="s">
        <v>216</v>
      </c>
      <c r="O60" s="404">
        <f t="shared" si="5"/>
        <v>1</v>
      </c>
      <c r="P60" s="404" t="s">
        <v>216</v>
      </c>
      <c r="Q60" s="404">
        <f t="shared" si="6"/>
        <v>1</v>
      </c>
      <c r="R60" s="382"/>
      <c r="S60" s="404"/>
    </row>
    <row r="61" spans="1:19" x14ac:dyDescent="0.25">
      <c r="A61" s="698" t="s">
        <v>686</v>
      </c>
      <c r="B61" s="91" t="s">
        <v>687</v>
      </c>
      <c r="C61" s="404">
        <v>1191</v>
      </c>
      <c r="D61" s="404" t="s">
        <v>464</v>
      </c>
      <c r="E61" s="404"/>
      <c r="F61" s="382" t="s">
        <v>129</v>
      </c>
      <c r="G61" s="404"/>
      <c r="H61" s="521" t="s">
        <v>619</v>
      </c>
      <c r="I61" s="404"/>
      <c r="J61" s="404" t="s">
        <v>686</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25">
      <c r="A62" s="698" t="s">
        <v>688</v>
      </c>
      <c r="B62" s="91" t="s">
        <v>689</v>
      </c>
      <c r="C62" s="404" t="s">
        <v>690</v>
      </c>
      <c r="D62" s="404" t="s">
        <v>464</v>
      </c>
      <c r="E62" s="404"/>
      <c r="F62" s="382" t="s">
        <v>129</v>
      </c>
      <c r="G62" s="404"/>
      <c r="H62" s="521" t="s">
        <v>619</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25">
      <c r="A63" s="698" t="s">
        <v>691</v>
      </c>
      <c r="B63" s="91" t="s">
        <v>692</v>
      </c>
      <c r="C63" s="404" t="s">
        <v>693</v>
      </c>
      <c r="D63" s="404" t="s">
        <v>464</v>
      </c>
      <c r="E63" s="404"/>
      <c r="F63" s="382" t="s">
        <v>129</v>
      </c>
      <c r="G63" s="404"/>
      <c r="H63" s="521" t="s">
        <v>619</v>
      </c>
      <c r="I63" s="404" t="s">
        <v>693</v>
      </c>
      <c r="J63" s="404" t="s">
        <v>691</v>
      </c>
      <c r="K63" s="404" t="s">
        <v>486</v>
      </c>
      <c r="L63" s="404">
        <f t="shared" si="8"/>
        <v>0</v>
      </c>
      <c r="M63" s="517" t="str">
        <f t="shared" si="3"/>
        <v>Compensation Not Required</v>
      </c>
      <c r="N63" s="404" t="s">
        <v>216</v>
      </c>
      <c r="O63" s="404">
        <f t="shared" si="5"/>
        <v>1</v>
      </c>
      <c r="P63" s="404" t="s">
        <v>216</v>
      </c>
      <c r="Q63" s="404">
        <f t="shared" si="6"/>
        <v>1</v>
      </c>
      <c r="R63" s="382"/>
      <c r="S63" s="404"/>
    </row>
    <row r="64" spans="1:19" x14ac:dyDescent="0.25">
      <c r="A64" s="698" t="s">
        <v>694</v>
      </c>
      <c r="B64" s="91" t="s">
        <v>695</v>
      </c>
      <c r="C64" s="404">
        <v>800</v>
      </c>
      <c r="D64" s="404" t="s">
        <v>464</v>
      </c>
      <c r="E64" s="404"/>
      <c r="F64" s="382" t="s">
        <v>129</v>
      </c>
      <c r="G64" s="404"/>
      <c r="H64" s="521" t="s">
        <v>619</v>
      </c>
      <c r="I64" s="404"/>
      <c r="J64" s="404" t="s">
        <v>694</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x14ac:dyDescent="0.25">
      <c r="A65" s="698" t="s">
        <v>696</v>
      </c>
      <c r="B65" s="91" t="s">
        <v>697</v>
      </c>
      <c r="C65" s="404" t="s">
        <v>698</v>
      </c>
      <c r="D65" s="404" t="s">
        <v>464</v>
      </c>
      <c r="E65" s="404"/>
      <c r="F65" s="382" t="s">
        <v>129</v>
      </c>
      <c r="G65" s="404"/>
      <c r="H65" s="521" t="s">
        <v>619</v>
      </c>
      <c r="I65" s="404" t="s">
        <v>698</v>
      </c>
      <c r="J65" s="404" t="s">
        <v>696</v>
      </c>
      <c r="K65" s="404" t="s">
        <v>486</v>
      </c>
      <c r="L65" s="404">
        <f t="shared" si="8"/>
        <v>0</v>
      </c>
      <c r="M65" s="517" t="str">
        <f t="shared" si="3"/>
        <v>Compensation Not Required</v>
      </c>
      <c r="N65" s="404" t="s">
        <v>216</v>
      </c>
      <c r="O65" s="404">
        <f t="shared" si="5"/>
        <v>1</v>
      </c>
      <c r="P65" s="404" t="s">
        <v>70</v>
      </c>
      <c r="Q65" s="404">
        <f t="shared" si="6"/>
        <v>0.67</v>
      </c>
      <c r="R65" s="382"/>
      <c r="S65" s="404"/>
    </row>
    <row r="66" spans="1:36" x14ac:dyDescent="0.25">
      <c r="A66" s="698" t="s">
        <v>699</v>
      </c>
      <c r="B66" s="91" t="s">
        <v>700</v>
      </c>
      <c r="C66" s="404" t="s">
        <v>701</v>
      </c>
      <c r="D66" s="404" t="s">
        <v>464</v>
      </c>
      <c r="E66" s="404"/>
      <c r="F66" s="382" t="s">
        <v>129</v>
      </c>
      <c r="G66" s="404"/>
      <c r="H66" s="521" t="s">
        <v>619</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25">
      <c r="A67" s="698" t="s">
        <v>702</v>
      </c>
      <c r="B67" s="91" t="s">
        <v>703</v>
      </c>
      <c r="C67" s="404">
        <v>1122</v>
      </c>
      <c r="D67" s="404" t="s">
        <v>464</v>
      </c>
      <c r="E67" s="404"/>
      <c r="F67" s="382" t="s">
        <v>129</v>
      </c>
      <c r="G67" s="404"/>
      <c r="H67" s="521" t="s">
        <v>619</v>
      </c>
      <c r="I67" s="404"/>
      <c r="J67" s="404" t="s">
        <v>704</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25">
      <c r="A68" s="698" t="s">
        <v>705</v>
      </c>
      <c r="B68" s="91" t="s">
        <v>706</v>
      </c>
      <c r="C68" s="404">
        <v>1121</v>
      </c>
      <c r="D68" s="404" t="s">
        <v>464</v>
      </c>
      <c r="E68" s="404"/>
      <c r="F68" s="382" t="s">
        <v>129</v>
      </c>
      <c r="G68" s="404"/>
      <c r="H68" s="521" t="s">
        <v>619</v>
      </c>
      <c r="I68" s="404"/>
      <c r="J68" s="404" t="s">
        <v>705</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25">
      <c r="A69" s="698" t="s">
        <v>707</v>
      </c>
      <c r="B69" s="91" t="s">
        <v>708</v>
      </c>
      <c r="C69" s="404">
        <v>1140</v>
      </c>
      <c r="D69" s="404" t="s">
        <v>464</v>
      </c>
      <c r="E69" s="404"/>
      <c r="F69" s="382" t="s">
        <v>129</v>
      </c>
      <c r="G69" s="404"/>
      <c r="H69" s="521" t="s">
        <v>619</v>
      </c>
      <c r="I69" s="404"/>
      <c r="J69" s="404" t="s">
        <v>707</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25">
      <c r="A70" s="698" t="s">
        <v>709</v>
      </c>
      <c r="B70" s="91" t="s">
        <v>710</v>
      </c>
      <c r="C70" s="404" t="s">
        <v>711</v>
      </c>
      <c r="D70" s="404" t="s">
        <v>464</v>
      </c>
      <c r="E70" s="404"/>
      <c r="F70" s="382" t="s">
        <v>129</v>
      </c>
      <c r="G70" s="404"/>
      <c r="H70" s="521" t="s">
        <v>619</v>
      </c>
      <c r="I70" s="404"/>
      <c r="J70" s="404" t="s">
        <v>688</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25">
      <c r="A71" s="698" t="s">
        <v>712</v>
      </c>
      <c r="B71" s="91" t="s">
        <v>713</v>
      </c>
      <c r="C71" s="404">
        <v>1160</v>
      </c>
      <c r="D71" s="404" t="s">
        <v>464</v>
      </c>
      <c r="E71" s="404"/>
      <c r="F71" s="382" t="s">
        <v>129</v>
      </c>
      <c r="G71" s="404"/>
      <c r="H71" s="521" t="s">
        <v>619</v>
      </c>
      <c r="I71" s="404"/>
      <c r="J71" s="404" t="s">
        <v>712</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7.6" x14ac:dyDescent="0.25">
      <c r="A72" s="698" t="s">
        <v>714</v>
      </c>
      <c r="B72" s="91" t="s">
        <v>715</v>
      </c>
      <c r="C72" s="404" t="s">
        <v>716</v>
      </c>
      <c r="D72" s="404" t="s">
        <v>464</v>
      </c>
      <c r="E72" s="404" t="s">
        <v>717</v>
      </c>
      <c r="F72" s="382" t="s">
        <v>129</v>
      </c>
      <c r="G72" s="404" t="s">
        <v>718</v>
      </c>
      <c r="H72" s="521" t="s">
        <v>619</v>
      </c>
      <c r="I72" s="404" t="s">
        <v>716</v>
      </c>
      <c r="J72" s="429" t="s">
        <v>719</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25">
      <c r="A73" s="698" t="s">
        <v>720</v>
      </c>
      <c r="B73" s="91" t="s">
        <v>721</v>
      </c>
      <c r="C73" s="404">
        <v>1192</v>
      </c>
      <c r="D73" s="404" t="s">
        <v>464</v>
      </c>
      <c r="E73" s="404"/>
      <c r="F73" s="382" t="s">
        <v>129</v>
      </c>
      <c r="G73" s="404"/>
      <c r="H73" s="521" t="s">
        <v>619</v>
      </c>
      <c r="I73" s="404"/>
      <c r="J73" s="404" t="s">
        <v>720</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7.6" x14ac:dyDescent="0.25">
      <c r="A74" s="698" t="s">
        <v>722</v>
      </c>
      <c r="B74" s="91" t="s">
        <v>723</v>
      </c>
      <c r="C74" s="404">
        <v>1030</v>
      </c>
      <c r="D74" s="404" t="s">
        <v>464</v>
      </c>
      <c r="E74" s="404"/>
      <c r="F74" s="382" t="s">
        <v>129</v>
      </c>
      <c r="G74" s="404"/>
      <c r="H74" s="521" t="s">
        <v>619</v>
      </c>
      <c r="I74" s="404"/>
      <c r="J74" s="404" t="s">
        <v>724</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25">
      <c r="A75" s="698" t="s">
        <v>725</v>
      </c>
      <c r="B75" s="91" t="s">
        <v>726</v>
      </c>
      <c r="C75" s="404">
        <v>1190</v>
      </c>
      <c r="D75" s="404" t="s">
        <v>464</v>
      </c>
      <c r="E75" s="404"/>
      <c r="F75" s="382" t="s">
        <v>129</v>
      </c>
      <c r="G75" s="404"/>
      <c r="H75" s="521" t="s">
        <v>619</v>
      </c>
      <c r="I75" s="404"/>
      <c r="J75" s="404" t="s">
        <v>727</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25">
      <c r="A76" s="698" t="s">
        <v>728</v>
      </c>
      <c r="B76" s="91" t="s">
        <v>729</v>
      </c>
      <c r="C76" s="404">
        <v>232</v>
      </c>
      <c r="D76" s="404" t="s">
        <v>464</v>
      </c>
      <c r="E76" s="404"/>
      <c r="F76" s="382" t="s">
        <v>129</v>
      </c>
      <c r="G76" s="404"/>
      <c r="H76" s="521" t="s">
        <v>619</v>
      </c>
      <c r="I76" s="404"/>
      <c r="J76" s="404" t="s">
        <v>730</v>
      </c>
      <c r="K76" s="404" t="s">
        <v>486</v>
      </c>
      <c r="L76" s="404">
        <f t="shared" si="8"/>
        <v>0</v>
      </c>
      <c r="M76" s="517" t="str">
        <f t="shared" si="11"/>
        <v>Compensation Not Required</v>
      </c>
      <c r="N76" s="404" t="s">
        <v>216</v>
      </c>
      <c r="O76" s="404">
        <f t="shared" si="9"/>
        <v>1</v>
      </c>
      <c r="P76" s="404" t="s">
        <v>216</v>
      </c>
      <c r="Q76" s="404">
        <f t="shared" si="10"/>
        <v>1</v>
      </c>
      <c r="R76" s="382"/>
      <c r="S76" s="404"/>
    </row>
    <row r="77" spans="1:36" ht="27.6" x14ac:dyDescent="0.25">
      <c r="A77" s="698" t="s">
        <v>731</v>
      </c>
      <c r="B77" s="91" t="s">
        <v>732</v>
      </c>
      <c r="C77" s="404">
        <v>350</v>
      </c>
      <c r="D77" s="404" t="s">
        <v>464</v>
      </c>
      <c r="E77" s="404"/>
      <c r="F77" s="382" t="s">
        <v>129</v>
      </c>
      <c r="G77" s="404"/>
      <c r="H77" s="521" t="s">
        <v>619</v>
      </c>
      <c r="I77" s="404"/>
      <c r="J77" s="404" t="s">
        <v>731</v>
      </c>
      <c r="K77" s="404" t="s">
        <v>216</v>
      </c>
      <c r="L77" s="404">
        <f t="shared" si="8"/>
        <v>2</v>
      </c>
      <c r="M77" s="517" t="str">
        <f t="shared" si="11"/>
        <v>Same distinctiveness or better habitat required ≥</v>
      </c>
      <c r="N77" s="404" t="s">
        <v>216</v>
      </c>
      <c r="O77" s="404">
        <f t="shared" si="9"/>
        <v>1</v>
      </c>
      <c r="P77" s="404" t="s">
        <v>216</v>
      </c>
      <c r="Q77" s="404">
        <f t="shared" si="10"/>
        <v>1</v>
      </c>
      <c r="R77" s="382" t="s">
        <v>733</v>
      </c>
      <c r="S77" s="404"/>
    </row>
    <row r="78" spans="1:36" ht="27.6" x14ac:dyDescent="0.25">
      <c r="A78" s="698" t="s">
        <v>734</v>
      </c>
      <c r="B78" s="558" t="s">
        <v>735</v>
      </c>
      <c r="C78" s="559" t="s">
        <v>736</v>
      </c>
      <c r="D78" s="559" t="s">
        <v>464</v>
      </c>
      <c r="E78" s="559"/>
      <c r="F78" s="395" t="s">
        <v>129</v>
      </c>
      <c r="G78" s="559"/>
      <c r="H78" s="560" t="s">
        <v>619</v>
      </c>
      <c r="I78" s="559"/>
      <c r="J78" s="559" t="s">
        <v>734</v>
      </c>
      <c r="K78" s="559" t="s">
        <v>216</v>
      </c>
      <c r="L78" s="559">
        <f t="shared" si="8"/>
        <v>2</v>
      </c>
      <c r="M78" s="561" t="str">
        <f t="shared" si="11"/>
        <v>Same distinctiveness or better habitat required ≥</v>
      </c>
      <c r="N78" s="559" t="s">
        <v>216</v>
      </c>
      <c r="O78" s="559">
        <v>1</v>
      </c>
      <c r="P78" s="559" t="s">
        <v>216</v>
      </c>
      <c r="Q78" s="559">
        <v>1</v>
      </c>
      <c r="R78" s="382" t="s">
        <v>733</v>
      </c>
      <c r="S78" s="559"/>
    </row>
    <row r="79" spans="1:36" ht="14.4" thickBot="1" x14ac:dyDescent="0.3">
      <c r="A79" s="699" t="s">
        <v>737</v>
      </c>
      <c r="B79" s="558" t="s">
        <v>738</v>
      </c>
      <c r="C79" s="559">
        <v>231</v>
      </c>
      <c r="D79" s="559" t="s">
        <v>464</v>
      </c>
      <c r="E79" s="559"/>
      <c r="F79" s="395" t="s">
        <v>129</v>
      </c>
      <c r="G79" s="559"/>
      <c r="H79" s="560" t="s">
        <v>619</v>
      </c>
      <c r="I79" s="559"/>
      <c r="J79" s="559" t="s">
        <v>737</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25">
      <c r="A80" s="698" t="s">
        <v>739</v>
      </c>
      <c r="B80" s="590" t="s">
        <v>740</v>
      </c>
      <c r="C80" s="404" t="s">
        <v>741</v>
      </c>
      <c r="D80" s="404" t="s">
        <v>464</v>
      </c>
      <c r="E80" s="404"/>
      <c r="F80" s="382" t="s">
        <v>138</v>
      </c>
      <c r="G80" s="404"/>
      <c r="H80" s="521" t="s">
        <v>619</v>
      </c>
      <c r="I80" s="404"/>
      <c r="J80" s="404" t="s">
        <v>742</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 thickBot="1" x14ac:dyDescent="0.3">
      <c r="A81" s="201" t="s">
        <v>743</v>
      </c>
      <c r="B81" s="181" t="s">
        <v>744</v>
      </c>
      <c r="C81" s="404" t="s">
        <v>745</v>
      </c>
      <c r="D81" s="404" t="s">
        <v>464</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25">
      <c r="A82" s="700" t="s">
        <v>746</v>
      </c>
      <c r="B82" s="179" t="s">
        <v>747</v>
      </c>
      <c r="C82" s="383" t="s">
        <v>748</v>
      </c>
      <c r="D82" s="383" t="s">
        <v>464</v>
      </c>
      <c r="E82" s="383"/>
      <c r="F82" s="370" t="s">
        <v>130</v>
      </c>
      <c r="G82" s="383"/>
      <c r="H82" s="523" t="s">
        <v>749</v>
      </c>
      <c r="I82" s="383" t="s">
        <v>748</v>
      </c>
      <c r="J82" s="432" t="s">
        <v>746</v>
      </c>
      <c r="K82" s="383" t="s">
        <v>467</v>
      </c>
      <c r="L82" s="383">
        <f t="shared" si="12"/>
        <v>8</v>
      </c>
      <c r="M82" s="519" t="str">
        <f t="shared" si="11"/>
        <v>Bespoke compensation likely to be required 🛠</v>
      </c>
      <c r="N82" s="383" t="s">
        <v>211</v>
      </c>
      <c r="O82" s="383">
        <f t="shared" si="9"/>
        <v>0.1</v>
      </c>
      <c r="P82" s="383" t="s">
        <v>213</v>
      </c>
      <c r="Q82" s="383">
        <f t="shared" si="10"/>
        <v>0.33</v>
      </c>
      <c r="R82" s="370"/>
      <c r="S82" s="383"/>
    </row>
    <row r="83" spans="1:36" ht="27.6" x14ac:dyDescent="0.25">
      <c r="A83" s="698" t="s">
        <v>750</v>
      </c>
      <c r="B83" s="91" t="s">
        <v>751</v>
      </c>
      <c r="C83" s="404">
        <v>24</v>
      </c>
      <c r="D83" s="404" t="s">
        <v>464</v>
      </c>
      <c r="E83" s="404" t="s">
        <v>752</v>
      </c>
      <c r="F83" s="382" t="s">
        <v>130</v>
      </c>
      <c r="G83" s="404" t="s">
        <v>753</v>
      </c>
      <c r="H83" s="521" t="s">
        <v>749</v>
      </c>
      <c r="I83" s="404"/>
      <c r="J83" s="433" t="s">
        <v>754</v>
      </c>
      <c r="K83" s="404" t="s">
        <v>467</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25">
      <c r="A84" s="698" t="s">
        <v>755</v>
      </c>
      <c r="B84" s="91" t="s">
        <v>756</v>
      </c>
      <c r="C84" s="404" t="s">
        <v>757</v>
      </c>
      <c r="D84" s="404" t="s">
        <v>464</v>
      </c>
      <c r="E84" s="404"/>
      <c r="F84" s="382" t="s">
        <v>130</v>
      </c>
      <c r="G84" s="404" t="s">
        <v>758</v>
      </c>
      <c r="H84" s="521" t="s">
        <v>759</v>
      </c>
      <c r="I84" s="404" t="s">
        <v>757</v>
      </c>
      <c r="J84" s="429" t="s">
        <v>760</v>
      </c>
      <c r="K84" s="404" t="s">
        <v>467</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25">
      <c r="A85" s="698" t="s">
        <v>761</v>
      </c>
      <c r="B85" s="91" t="s">
        <v>762</v>
      </c>
      <c r="C85" s="404" t="s">
        <v>763</v>
      </c>
      <c r="D85" s="404" t="s">
        <v>464</v>
      </c>
      <c r="E85" s="404"/>
      <c r="F85" s="382" t="s">
        <v>130</v>
      </c>
      <c r="G85" s="404"/>
      <c r="H85" s="521" t="s">
        <v>749</v>
      </c>
      <c r="I85" s="404" t="s">
        <v>763</v>
      </c>
      <c r="J85" s="429" t="s">
        <v>761</v>
      </c>
      <c r="K85" s="404" t="s">
        <v>467</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25">
      <c r="A86" s="698" t="s">
        <v>764</v>
      </c>
      <c r="B86" s="91" t="s">
        <v>765</v>
      </c>
      <c r="C86" s="404" t="s">
        <v>766</v>
      </c>
      <c r="D86" s="404" t="s">
        <v>464</v>
      </c>
      <c r="E86" s="404"/>
      <c r="F86" s="382" t="s">
        <v>130</v>
      </c>
      <c r="G86" s="404"/>
      <c r="H86" s="521" t="s">
        <v>759</v>
      </c>
      <c r="I86" s="404" t="s">
        <v>767</v>
      </c>
      <c r="J86" s="404" t="s">
        <v>768</v>
      </c>
      <c r="K86" s="404" t="s">
        <v>467</v>
      </c>
      <c r="L86" s="404">
        <f t="shared" si="12"/>
        <v>8</v>
      </c>
      <c r="M86" s="517" t="str">
        <f t="shared" si="11"/>
        <v>Bespoke compensation likely to be required 🛠</v>
      </c>
      <c r="N86" s="404" t="s">
        <v>211</v>
      </c>
      <c r="O86" s="404">
        <f t="shared" si="9"/>
        <v>0.1</v>
      </c>
      <c r="P86" s="404" t="s">
        <v>213</v>
      </c>
      <c r="Q86" s="404">
        <f t="shared" si="10"/>
        <v>0.33</v>
      </c>
      <c r="R86" s="382"/>
      <c r="S86" s="404"/>
    </row>
    <row r="87" spans="1:36" ht="27.6" x14ac:dyDescent="0.25">
      <c r="A87" s="698" t="s">
        <v>769</v>
      </c>
      <c r="B87" s="91" t="s">
        <v>770</v>
      </c>
      <c r="C87" s="404" t="s">
        <v>771</v>
      </c>
      <c r="D87" s="404" t="s">
        <v>464</v>
      </c>
      <c r="E87" s="404"/>
      <c r="F87" s="382" t="s">
        <v>130</v>
      </c>
      <c r="G87" s="404"/>
      <c r="H87" s="521" t="s">
        <v>759</v>
      </c>
      <c r="I87" s="404" t="s">
        <v>771</v>
      </c>
      <c r="J87" s="429" t="s">
        <v>769</v>
      </c>
      <c r="K87" s="404" t="s">
        <v>467</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25">
      <c r="A88" s="698" t="s">
        <v>772</v>
      </c>
      <c r="B88" s="91" t="s">
        <v>773</v>
      </c>
      <c r="C88" s="404" t="s">
        <v>774</v>
      </c>
      <c r="D88" s="404" t="s">
        <v>464</v>
      </c>
      <c r="E88" s="404"/>
      <c r="F88" s="382" t="s">
        <v>130</v>
      </c>
      <c r="G88" s="404"/>
      <c r="H88" s="521" t="s">
        <v>759</v>
      </c>
      <c r="I88" s="404" t="s">
        <v>774</v>
      </c>
      <c r="J88" s="429" t="s">
        <v>772</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8.2" thickBot="1" x14ac:dyDescent="0.3">
      <c r="A89" s="698" t="s">
        <v>775</v>
      </c>
      <c r="B89" s="178" t="s">
        <v>776</v>
      </c>
      <c r="C89" s="388" t="s">
        <v>777</v>
      </c>
      <c r="D89" s="388" t="s">
        <v>464</v>
      </c>
      <c r="E89" s="388"/>
      <c r="F89" s="371" t="s">
        <v>130</v>
      </c>
      <c r="G89" s="388"/>
      <c r="H89" s="522" t="s">
        <v>759</v>
      </c>
      <c r="I89" s="388"/>
      <c r="J89" s="434" t="s">
        <v>776</v>
      </c>
      <c r="K89" s="388" t="s">
        <v>467</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25">
      <c r="A90" s="698" t="s">
        <v>778</v>
      </c>
      <c r="B90" s="179" t="s">
        <v>779</v>
      </c>
      <c r="C90" s="383">
        <v>53</v>
      </c>
      <c r="D90" s="383" t="s">
        <v>464</v>
      </c>
      <c r="E90" s="383"/>
      <c r="F90" s="370" t="s">
        <v>131</v>
      </c>
      <c r="G90" s="383"/>
      <c r="H90" s="523" t="s">
        <v>780</v>
      </c>
      <c r="I90" s="383"/>
      <c r="J90" s="383" t="s">
        <v>778</v>
      </c>
      <c r="K90" s="383" t="s">
        <v>213</v>
      </c>
      <c r="L90" s="383">
        <f t="shared" si="12"/>
        <v>6</v>
      </c>
      <c r="M90" s="519" t="str">
        <f t="shared" si="11"/>
        <v>Same habitat required =</v>
      </c>
      <c r="N90" s="383" t="s">
        <v>213</v>
      </c>
      <c r="O90" s="383">
        <f t="shared" si="9"/>
        <v>0.33</v>
      </c>
      <c r="P90" s="383" t="s">
        <v>216</v>
      </c>
      <c r="Q90" s="383">
        <f t="shared" si="10"/>
        <v>1</v>
      </c>
      <c r="R90" s="370"/>
      <c r="S90" s="383"/>
    </row>
    <row r="91" spans="1:36" ht="27.6" x14ac:dyDescent="0.25">
      <c r="A91" s="698" t="s">
        <v>781</v>
      </c>
      <c r="B91" s="91" t="s">
        <v>782</v>
      </c>
      <c r="C91" s="404" t="s">
        <v>783</v>
      </c>
      <c r="D91" s="404" t="s">
        <v>464</v>
      </c>
      <c r="E91" s="404"/>
      <c r="F91" s="382" t="s">
        <v>131</v>
      </c>
      <c r="G91" s="404"/>
      <c r="H91" s="521" t="s">
        <v>784</v>
      </c>
      <c r="I91" s="404" t="s">
        <v>783</v>
      </c>
      <c r="J91" s="429" t="s">
        <v>781</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27.6" x14ac:dyDescent="0.25">
      <c r="A92" s="698" t="s">
        <v>785</v>
      </c>
      <c r="B92" s="91" t="s">
        <v>786</v>
      </c>
      <c r="C92" s="404" t="s">
        <v>787</v>
      </c>
      <c r="D92" s="404" t="s">
        <v>464</v>
      </c>
      <c r="E92" s="404"/>
      <c r="F92" s="382" t="s">
        <v>131</v>
      </c>
      <c r="G92" s="404"/>
      <c r="H92" s="521" t="s">
        <v>784</v>
      </c>
      <c r="I92" s="404" t="s">
        <v>787</v>
      </c>
      <c r="J92" s="429" t="s">
        <v>785</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25">
      <c r="A93" s="698" t="s">
        <v>788</v>
      </c>
      <c r="B93" s="91" t="s">
        <v>789</v>
      </c>
      <c r="C93" s="404" t="s">
        <v>790</v>
      </c>
      <c r="D93" s="404" t="s">
        <v>464</v>
      </c>
      <c r="E93" s="404"/>
      <c r="F93" s="382" t="s">
        <v>131</v>
      </c>
      <c r="G93" s="404" t="s">
        <v>791</v>
      </c>
      <c r="H93" s="521" t="s">
        <v>792</v>
      </c>
      <c r="I93" s="404" t="s">
        <v>790</v>
      </c>
      <c r="J93" s="429" t="s">
        <v>788</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25">
      <c r="A94" s="698" t="s">
        <v>793</v>
      </c>
      <c r="B94" s="91" t="s">
        <v>794</v>
      </c>
      <c r="C94" s="404" t="s">
        <v>795</v>
      </c>
      <c r="D94" s="404" t="s">
        <v>464</v>
      </c>
      <c r="E94" s="404"/>
      <c r="F94" s="382" t="s">
        <v>131</v>
      </c>
      <c r="G94" s="404"/>
      <c r="H94" s="521" t="s">
        <v>792</v>
      </c>
      <c r="I94" s="404" t="s">
        <v>795</v>
      </c>
      <c r="J94" s="404" t="s">
        <v>793</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25">
      <c r="A95" s="698" t="s">
        <v>796</v>
      </c>
      <c r="B95" s="91" t="s">
        <v>797</v>
      </c>
      <c r="C95" s="404" t="s">
        <v>798</v>
      </c>
      <c r="D95" s="404" t="s">
        <v>464</v>
      </c>
      <c r="E95" s="404"/>
      <c r="F95" s="382" t="s">
        <v>131</v>
      </c>
      <c r="G95" s="404"/>
      <c r="H95" s="521" t="s">
        <v>792</v>
      </c>
      <c r="I95" s="404" t="s">
        <v>798</v>
      </c>
      <c r="J95" s="404" t="s">
        <v>799</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25">
      <c r="A96" s="698" t="s">
        <v>800</v>
      </c>
      <c r="B96" s="91" t="s">
        <v>801</v>
      </c>
      <c r="C96" s="404" t="s">
        <v>802</v>
      </c>
      <c r="D96" s="404" t="s">
        <v>464</v>
      </c>
      <c r="E96" s="404"/>
      <c r="F96" s="382" t="s">
        <v>131</v>
      </c>
      <c r="G96" s="404"/>
      <c r="H96" s="521" t="s">
        <v>784</v>
      </c>
      <c r="I96" s="404" t="s">
        <v>802</v>
      </c>
      <c r="J96" s="404" t="s">
        <v>800</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25">
      <c r="A97" s="698" t="s">
        <v>803</v>
      </c>
      <c r="B97" s="91" t="s">
        <v>804</v>
      </c>
      <c r="C97" s="404" t="s">
        <v>805</v>
      </c>
      <c r="D97" s="404" t="s">
        <v>464</v>
      </c>
      <c r="E97" s="404"/>
      <c r="F97" s="382" t="s">
        <v>131</v>
      </c>
      <c r="G97" s="404"/>
      <c r="H97" s="521" t="s">
        <v>784</v>
      </c>
      <c r="I97" s="404" t="s">
        <v>805</v>
      </c>
      <c r="J97" s="404" t="s">
        <v>803</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25">
      <c r="A98" s="698" t="s">
        <v>806</v>
      </c>
      <c r="B98" s="91" t="s">
        <v>807</v>
      </c>
      <c r="C98" s="404" t="s">
        <v>808</v>
      </c>
      <c r="D98" s="404" t="s">
        <v>464</v>
      </c>
      <c r="E98" s="404"/>
      <c r="F98" s="382" t="s">
        <v>131</v>
      </c>
      <c r="G98" s="404"/>
      <c r="H98" s="521" t="s">
        <v>784</v>
      </c>
      <c r="I98" s="404" t="s">
        <v>808</v>
      </c>
      <c r="J98" s="429" t="s">
        <v>806</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25">
      <c r="A99" s="698" t="s">
        <v>809</v>
      </c>
      <c r="B99" s="91" t="s">
        <v>810</v>
      </c>
      <c r="C99" s="404" t="s">
        <v>811</v>
      </c>
      <c r="D99" s="404" t="s">
        <v>464</v>
      </c>
      <c r="E99" s="404"/>
      <c r="F99" s="382" t="s">
        <v>131</v>
      </c>
      <c r="G99" s="404"/>
      <c r="H99" s="521" t="s">
        <v>784</v>
      </c>
      <c r="I99" s="404" t="s">
        <v>811</v>
      </c>
      <c r="J99" s="429" t="s">
        <v>809</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25">
      <c r="A100" s="698" t="s">
        <v>812</v>
      </c>
      <c r="B100" s="91" t="s">
        <v>813</v>
      </c>
      <c r="C100" s="404" t="s">
        <v>814</v>
      </c>
      <c r="D100" s="404" t="s">
        <v>464</v>
      </c>
      <c r="E100" s="404" t="s">
        <v>815</v>
      </c>
      <c r="F100" s="382" t="s">
        <v>131</v>
      </c>
      <c r="G100" s="404" t="s">
        <v>816</v>
      </c>
      <c r="H100" s="521" t="s">
        <v>784</v>
      </c>
      <c r="I100" s="404" t="s">
        <v>814</v>
      </c>
      <c r="J100" s="429" t="s">
        <v>812</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25">
      <c r="A101" s="698" t="s">
        <v>817</v>
      </c>
      <c r="B101" s="91" t="s">
        <v>818</v>
      </c>
      <c r="C101" s="404" t="s">
        <v>819</v>
      </c>
      <c r="D101" s="404" t="s">
        <v>464</v>
      </c>
      <c r="E101" s="404"/>
      <c r="F101" s="382" t="s">
        <v>131</v>
      </c>
      <c r="G101" s="404"/>
      <c r="H101" s="521" t="s">
        <v>784</v>
      </c>
      <c r="I101" s="404" t="s">
        <v>819</v>
      </c>
      <c r="J101" s="429" t="s">
        <v>817</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4.4" thickBot="1" x14ac:dyDescent="0.3">
      <c r="A102" s="698" t="s">
        <v>820</v>
      </c>
      <c r="B102" s="178" t="s">
        <v>821</v>
      </c>
      <c r="C102" s="388">
        <v>20</v>
      </c>
      <c r="D102" s="388" t="s">
        <v>464</v>
      </c>
      <c r="E102" s="388"/>
      <c r="F102" s="371" t="s">
        <v>131</v>
      </c>
      <c r="G102" s="388"/>
      <c r="H102" s="522" t="s">
        <v>780</v>
      </c>
      <c r="I102" s="388"/>
      <c r="J102" s="388" t="s">
        <v>820</v>
      </c>
      <c r="K102" s="388" t="s">
        <v>467</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4.4" thickBot="1" x14ac:dyDescent="0.3">
      <c r="A103" s="698" t="s">
        <v>135</v>
      </c>
      <c r="B103" s="180" t="s">
        <v>822</v>
      </c>
      <c r="C103" s="435" t="s">
        <v>823</v>
      </c>
      <c r="D103" s="435" t="s">
        <v>824</v>
      </c>
      <c r="E103" s="435" t="s">
        <v>825</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25">
      <c r="A104" s="698" t="s">
        <v>826</v>
      </c>
      <c r="B104" s="179" t="s">
        <v>827</v>
      </c>
      <c r="C104" s="383" t="s">
        <v>828</v>
      </c>
      <c r="D104" s="383" t="s">
        <v>824</v>
      </c>
      <c r="E104" s="383" t="s">
        <v>829</v>
      </c>
      <c r="F104" s="383" t="s">
        <v>984</v>
      </c>
      <c r="G104" s="383"/>
      <c r="H104" s="519" t="s">
        <v>826</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7.6" x14ac:dyDescent="0.25">
      <c r="A105" s="698" t="s">
        <v>830</v>
      </c>
      <c r="B105" s="91" t="s">
        <v>831</v>
      </c>
      <c r="C105" s="383" t="s">
        <v>832</v>
      </c>
      <c r="D105" s="404" t="s">
        <v>824</v>
      </c>
      <c r="E105" s="404" t="s">
        <v>829</v>
      </c>
      <c r="F105" s="404" t="s">
        <v>984</v>
      </c>
      <c r="G105" s="404"/>
      <c r="H105" s="517" t="s">
        <v>833</v>
      </c>
      <c r="I105" s="404"/>
      <c r="J105" s="404"/>
      <c r="K105" s="404" t="s">
        <v>467</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25">
      <c r="A106" s="698" t="s">
        <v>834</v>
      </c>
      <c r="B106" s="91" t="s">
        <v>835</v>
      </c>
      <c r="C106" s="404" t="s">
        <v>836</v>
      </c>
      <c r="D106" s="404" t="s">
        <v>824</v>
      </c>
      <c r="E106" s="404" t="s">
        <v>829</v>
      </c>
      <c r="F106" s="404" t="s">
        <v>984</v>
      </c>
      <c r="G106" s="404"/>
      <c r="H106" s="517" t="s">
        <v>834</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7.6" x14ac:dyDescent="0.25">
      <c r="A107" s="698" t="s">
        <v>837</v>
      </c>
      <c r="B107" s="91" t="s">
        <v>838</v>
      </c>
      <c r="C107" s="404" t="s">
        <v>839</v>
      </c>
      <c r="D107" s="404" t="s">
        <v>824</v>
      </c>
      <c r="E107" s="404" t="s">
        <v>829</v>
      </c>
      <c r="F107" s="404" t="s">
        <v>984</v>
      </c>
      <c r="G107" s="404"/>
      <c r="H107" s="517" t="s">
        <v>840</v>
      </c>
      <c r="I107" s="404"/>
      <c r="J107" s="404"/>
      <c r="K107" s="404" t="s">
        <v>467</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25">
      <c r="A108" s="698" t="s">
        <v>841</v>
      </c>
      <c r="B108" s="91" t="s">
        <v>842</v>
      </c>
      <c r="C108" s="404" t="s">
        <v>843</v>
      </c>
      <c r="D108" s="404" t="s">
        <v>824</v>
      </c>
      <c r="E108" s="404" t="s">
        <v>829</v>
      </c>
      <c r="F108" s="404" t="s">
        <v>984</v>
      </c>
      <c r="G108" s="404"/>
      <c r="H108" s="517" t="s">
        <v>841</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7.6" x14ac:dyDescent="0.25">
      <c r="A109" s="698" t="s">
        <v>844</v>
      </c>
      <c r="B109" s="91" t="s">
        <v>845</v>
      </c>
      <c r="C109" s="404" t="s">
        <v>846</v>
      </c>
      <c r="D109" s="404" t="s">
        <v>824</v>
      </c>
      <c r="E109" s="404" t="s">
        <v>829</v>
      </c>
      <c r="F109" s="404" t="s">
        <v>984</v>
      </c>
      <c r="G109" s="404"/>
      <c r="H109" s="517" t="s">
        <v>847</v>
      </c>
      <c r="I109" s="404"/>
      <c r="J109" s="404"/>
      <c r="K109" s="404" t="s">
        <v>467</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25">
      <c r="A110" s="698" t="s">
        <v>848</v>
      </c>
      <c r="B110" s="91" t="s">
        <v>849</v>
      </c>
      <c r="C110" s="404" t="s">
        <v>850</v>
      </c>
      <c r="D110" s="404" t="s">
        <v>824</v>
      </c>
      <c r="E110" s="404" t="s">
        <v>829</v>
      </c>
      <c r="F110" s="404" t="s">
        <v>984</v>
      </c>
      <c r="G110" s="404"/>
      <c r="H110" s="517" t="s">
        <v>848</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8.2" thickBot="1" x14ac:dyDescent="0.3">
      <c r="A111" s="698" t="s">
        <v>851</v>
      </c>
      <c r="B111" s="178" t="s">
        <v>852</v>
      </c>
      <c r="C111" s="388" t="s">
        <v>853</v>
      </c>
      <c r="D111" s="388" t="s">
        <v>824</v>
      </c>
      <c r="E111" s="388" t="s">
        <v>829</v>
      </c>
      <c r="F111" s="388" t="s">
        <v>984</v>
      </c>
      <c r="G111" s="388"/>
      <c r="H111" s="518" t="s">
        <v>854</v>
      </c>
      <c r="I111" s="388"/>
      <c r="J111" s="388"/>
      <c r="K111" s="388" t="s">
        <v>467</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ht="27.6" x14ac:dyDescent="0.25">
      <c r="A112" s="698" t="s">
        <v>855</v>
      </c>
      <c r="B112" s="179" t="s">
        <v>856</v>
      </c>
      <c r="C112" s="383" t="s">
        <v>857</v>
      </c>
      <c r="D112" s="383" t="s">
        <v>824</v>
      </c>
      <c r="E112" s="383" t="s">
        <v>858</v>
      </c>
      <c r="F112" s="383" t="s">
        <v>987</v>
      </c>
      <c r="G112" s="383"/>
      <c r="H112" s="519" t="s">
        <v>859</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8.2" thickBot="1" x14ac:dyDescent="0.3">
      <c r="A113" s="698" t="s">
        <v>860</v>
      </c>
      <c r="B113" s="178" t="s">
        <v>861</v>
      </c>
      <c r="C113" s="388" t="s">
        <v>862</v>
      </c>
      <c r="D113" s="388"/>
      <c r="E113" s="388"/>
      <c r="F113" s="388" t="s">
        <v>987</v>
      </c>
      <c r="G113" s="388"/>
      <c r="H113" s="518" t="s">
        <v>860</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25">
      <c r="A114" s="698" t="s">
        <v>863</v>
      </c>
      <c r="B114" s="179" t="s">
        <v>864</v>
      </c>
      <c r="C114" s="383" t="s">
        <v>865</v>
      </c>
      <c r="D114" s="383" t="s">
        <v>824</v>
      </c>
      <c r="E114" s="383" t="s">
        <v>858</v>
      </c>
      <c r="F114" s="383" t="s">
        <v>132</v>
      </c>
      <c r="G114" s="383"/>
      <c r="H114" s="519" t="s">
        <v>863</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25">
      <c r="A115" s="698" t="s">
        <v>866</v>
      </c>
      <c r="B115" s="91" t="s">
        <v>867</v>
      </c>
      <c r="C115" s="404" t="s">
        <v>868</v>
      </c>
      <c r="D115" s="404" t="s">
        <v>824</v>
      </c>
      <c r="E115" s="404" t="s">
        <v>858</v>
      </c>
      <c r="F115" s="404" t="s">
        <v>132</v>
      </c>
      <c r="G115" s="404"/>
      <c r="H115" s="517" t="s">
        <v>866</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25">
      <c r="A116" s="698" t="s">
        <v>869</v>
      </c>
      <c r="B116" s="91" t="s">
        <v>870</v>
      </c>
      <c r="C116" s="404" t="s">
        <v>871</v>
      </c>
      <c r="D116" s="404" t="s">
        <v>824</v>
      </c>
      <c r="E116" s="404" t="s">
        <v>858</v>
      </c>
      <c r="F116" s="404" t="s">
        <v>132</v>
      </c>
      <c r="G116" s="404"/>
      <c r="H116" s="517" t="s">
        <v>869</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25">
      <c r="A117" s="698" t="s">
        <v>872</v>
      </c>
      <c r="B117" s="91" t="s">
        <v>230</v>
      </c>
      <c r="C117" s="404" t="s">
        <v>873</v>
      </c>
      <c r="D117" s="404" t="s">
        <v>824</v>
      </c>
      <c r="E117" s="404" t="s">
        <v>858</v>
      </c>
      <c r="F117" s="404" t="s">
        <v>132</v>
      </c>
      <c r="G117" s="404"/>
      <c r="H117" s="517" t="s">
        <v>874</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7.6" x14ac:dyDescent="0.25">
      <c r="A118" s="698" t="s">
        <v>875</v>
      </c>
      <c r="B118" s="91" t="s">
        <v>876</v>
      </c>
      <c r="C118" s="404" t="s">
        <v>877</v>
      </c>
      <c r="D118" s="404" t="s">
        <v>824</v>
      </c>
      <c r="E118" s="404" t="s">
        <v>858</v>
      </c>
      <c r="F118" s="404" t="s">
        <v>132</v>
      </c>
      <c r="G118" s="404"/>
      <c r="H118" s="517" t="s">
        <v>878</v>
      </c>
      <c r="I118" s="404"/>
      <c r="J118" s="404"/>
      <c r="K118" s="404" t="s">
        <v>467</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x14ac:dyDescent="0.25">
      <c r="A119" s="698" t="s">
        <v>879</v>
      </c>
      <c r="B119" s="91" t="s">
        <v>880</v>
      </c>
      <c r="C119" s="404" t="s">
        <v>881</v>
      </c>
      <c r="D119" s="404"/>
      <c r="E119" s="404"/>
      <c r="F119" s="404" t="s">
        <v>132</v>
      </c>
      <c r="G119" s="404"/>
      <c r="H119" s="517" t="s">
        <v>882</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ht="27.6" x14ac:dyDescent="0.25">
      <c r="A120" s="698" t="s">
        <v>883</v>
      </c>
      <c r="B120" s="91" t="s">
        <v>884</v>
      </c>
      <c r="C120" s="404" t="s">
        <v>885</v>
      </c>
      <c r="D120" s="404" t="s">
        <v>824</v>
      </c>
      <c r="E120" s="404" t="s">
        <v>858</v>
      </c>
      <c r="F120" s="404" t="s">
        <v>132</v>
      </c>
      <c r="G120" s="404"/>
      <c r="H120" s="517" t="s">
        <v>883</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25">
      <c r="A121" s="698" t="s">
        <v>886</v>
      </c>
      <c r="B121" s="91" t="s">
        <v>887</v>
      </c>
      <c r="C121" s="404" t="s">
        <v>888</v>
      </c>
      <c r="D121" s="404" t="s">
        <v>824</v>
      </c>
      <c r="E121" s="404" t="s">
        <v>858</v>
      </c>
      <c r="F121" s="404" t="s">
        <v>132</v>
      </c>
      <c r="G121" s="404"/>
      <c r="H121" s="517" t="s">
        <v>886</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x14ac:dyDescent="0.25">
      <c r="A122" s="698" t="s">
        <v>889</v>
      </c>
      <c r="B122" s="91" t="s">
        <v>890</v>
      </c>
      <c r="C122" s="404" t="s">
        <v>891</v>
      </c>
      <c r="D122" s="404" t="s">
        <v>824</v>
      </c>
      <c r="E122" s="404" t="s">
        <v>858</v>
      </c>
      <c r="F122" s="404" t="s">
        <v>132</v>
      </c>
      <c r="G122" s="404"/>
      <c r="H122" s="517" t="s">
        <v>889</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25">
      <c r="A123" s="698" t="s">
        <v>892</v>
      </c>
      <c r="B123" s="91" t="s">
        <v>893</v>
      </c>
      <c r="C123" s="404" t="s">
        <v>894</v>
      </c>
      <c r="D123" s="404"/>
      <c r="E123" s="404"/>
      <c r="F123" s="404" t="s">
        <v>132</v>
      </c>
      <c r="G123" s="404"/>
      <c r="H123" s="517" t="s">
        <v>892</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25">
      <c r="A124" s="698" t="s">
        <v>895</v>
      </c>
      <c r="B124" s="91" t="s">
        <v>896</v>
      </c>
      <c r="C124" s="404" t="s">
        <v>897</v>
      </c>
      <c r="D124" s="404"/>
      <c r="E124" s="404"/>
      <c r="F124" s="404" t="s">
        <v>132</v>
      </c>
      <c r="G124" s="404"/>
      <c r="H124" s="517" t="s">
        <v>895</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25">
      <c r="A125" s="698" t="s">
        <v>898</v>
      </c>
      <c r="B125" s="91" t="s">
        <v>899</v>
      </c>
      <c r="C125" s="404" t="s">
        <v>900</v>
      </c>
      <c r="D125" s="404" t="s">
        <v>824</v>
      </c>
      <c r="E125" s="404" t="s">
        <v>858</v>
      </c>
      <c r="F125" s="404" t="s">
        <v>132</v>
      </c>
      <c r="G125" s="404"/>
      <c r="H125" s="517" t="s">
        <v>892</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ht="27.6" x14ac:dyDescent="0.25">
      <c r="A126" s="698" t="s">
        <v>901</v>
      </c>
      <c r="B126" s="91" t="s">
        <v>902</v>
      </c>
      <c r="C126" s="404" t="s">
        <v>903</v>
      </c>
      <c r="D126" s="404" t="s">
        <v>824</v>
      </c>
      <c r="E126" s="404" t="s">
        <v>858</v>
      </c>
      <c r="F126" s="404" t="s">
        <v>132</v>
      </c>
      <c r="G126" s="404"/>
      <c r="H126" s="517" t="s">
        <v>901</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25">
      <c r="A127" s="698" t="s">
        <v>904</v>
      </c>
      <c r="B127" s="91" t="s">
        <v>905</v>
      </c>
      <c r="C127" s="404" t="s">
        <v>906</v>
      </c>
      <c r="D127" s="404" t="s">
        <v>824</v>
      </c>
      <c r="E127" s="404" t="s">
        <v>858</v>
      </c>
      <c r="F127" s="404" t="s">
        <v>132</v>
      </c>
      <c r="G127" s="404"/>
      <c r="H127" s="517" t="s">
        <v>904</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x14ac:dyDescent="0.25">
      <c r="A128" s="698" t="s">
        <v>907</v>
      </c>
      <c r="B128" s="91" t="s">
        <v>908</v>
      </c>
      <c r="C128" s="404" t="s">
        <v>909</v>
      </c>
      <c r="D128" s="404" t="s">
        <v>824</v>
      </c>
      <c r="E128" s="404" t="s">
        <v>858</v>
      </c>
      <c r="F128" s="404" t="s">
        <v>132</v>
      </c>
      <c r="G128" s="404"/>
      <c r="H128" s="517" t="s">
        <v>907</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25">
      <c r="A129" s="201" t="s">
        <v>910</v>
      </c>
      <c r="B129" s="80" t="s">
        <v>911</v>
      </c>
      <c r="C129" s="404" t="s">
        <v>912</v>
      </c>
      <c r="D129" s="404" t="s">
        <v>824</v>
      </c>
      <c r="E129" s="404"/>
      <c r="F129" s="404" t="s">
        <v>132</v>
      </c>
      <c r="G129" s="404"/>
      <c r="H129" s="521" t="s">
        <v>910</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4.4" thickBot="1" x14ac:dyDescent="0.3">
      <c r="A130" s="201" t="s">
        <v>913</v>
      </c>
      <c r="B130" s="181" t="s">
        <v>914</v>
      </c>
      <c r="C130" s="388" t="s">
        <v>915</v>
      </c>
      <c r="D130" s="388" t="s">
        <v>824</v>
      </c>
      <c r="E130" s="388"/>
      <c r="F130" s="388" t="s">
        <v>132</v>
      </c>
      <c r="G130" s="388"/>
      <c r="H130" s="522" t="s">
        <v>913</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25">
      <c r="A131" s="201" t="s">
        <v>916</v>
      </c>
      <c r="B131" s="182" t="s">
        <v>917</v>
      </c>
      <c r="C131" s="383" t="s">
        <v>918</v>
      </c>
      <c r="D131" s="383" t="s">
        <v>824</v>
      </c>
      <c r="E131" s="383"/>
      <c r="F131" s="383" t="s">
        <v>136</v>
      </c>
      <c r="G131" s="383"/>
      <c r="H131" s="523" t="s">
        <v>916</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27.6" x14ac:dyDescent="0.25">
      <c r="A132" s="201" t="s">
        <v>919</v>
      </c>
      <c r="B132" s="80" t="s">
        <v>920</v>
      </c>
      <c r="C132" s="404" t="s">
        <v>921</v>
      </c>
      <c r="D132" s="404" t="s">
        <v>824</v>
      </c>
      <c r="E132" s="404"/>
      <c r="F132" s="383" t="s">
        <v>136</v>
      </c>
      <c r="G132" s="404"/>
      <c r="H132" s="521" t="s">
        <v>919</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2" thickBot="1" x14ac:dyDescent="0.3">
      <c r="A133" s="701" t="s">
        <v>922</v>
      </c>
      <c r="B133" s="565" t="s">
        <v>923</v>
      </c>
      <c r="C133" s="559" t="s">
        <v>924</v>
      </c>
      <c r="D133" s="559" t="s">
        <v>824</v>
      </c>
      <c r="E133" s="559"/>
      <c r="F133" s="566" t="s">
        <v>136</v>
      </c>
      <c r="G133" s="559"/>
      <c r="H133" s="560" t="s">
        <v>925</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42" thickBot="1" x14ac:dyDescent="0.3">
      <c r="A134" s="201" t="s">
        <v>137</v>
      </c>
      <c r="B134" s="567" t="s">
        <v>926</v>
      </c>
      <c r="C134" s="435" t="s">
        <v>927</v>
      </c>
      <c r="D134" s="436" t="s">
        <v>137</v>
      </c>
      <c r="E134" s="435"/>
      <c r="F134" s="435" t="s">
        <v>137</v>
      </c>
      <c r="G134" s="435"/>
      <c r="H134" s="520" t="s">
        <v>137</v>
      </c>
      <c r="I134" s="435"/>
      <c r="J134" s="435"/>
      <c r="K134" s="435" t="s">
        <v>928</v>
      </c>
      <c r="L134" s="435">
        <f t="shared" si="18"/>
        <v>0</v>
      </c>
      <c r="M134" s="435" t="str">
        <f>IF($K134=$V$3,$X$3,IF($K134=$V$4,$X$4,IF($K134=$V$5,$X$5,IF($K134=$V$6,$X$6,IF($K134=$V$7,$X$7)))))</f>
        <v>Compensation Not Required</v>
      </c>
      <c r="N134" s="435" t="s">
        <v>70</v>
      </c>
      <c r="O134" s="435">
        <f t="shared" si="19"/>
        <v>0.67</v>
      </c>
      <c r="P134" s="435" t="s">
        <v>211</v>
      </c>
      <c r="Q134" s="435">
        <f t="shared" si="20"/>
        <v>0.1</v>
      </c>
      <c r="R134" s="436" t="s">
        <v>929</v>
      </c>
      <c r="S134" s="435"/>
      <c r="T134" s="93"/>
    </row>
    <row r="135" spans="1:20" x14ac:dyDescent="0.25"/>
    <row r="136" spans="1:20" x14ac:dyDescent="0.25"/>
    <row r="137" spans="1:20" x14ac:dyDescent="0.25"/>
    <row r="138" spans="1:20" x14ac:dyDescent="0.25"/>
    <row r="139" spans="1:20" x14ac:dyDescent="0.25"/>
    <row r="140" spans="1:20" x14ac:dyDescent="0.25"/>
    <row r="141" spans="1:20" x14ac:dyDescent="0.25"/>
    <row r="142" spans="1:20" x14ac:dyDescent="0.25"/>
    <row r="143" spans="1:20" x14ac:dyDescent="0.25"/>
    <row r="144" spans="1:20" x14ac:dyDescent="0.25"/>
    <row r="145" x14ac:dyDescent="0.25"/>
    <row r="146" x14ac:dyDescent="0.25"/>
    <row r="147" x14ac:dyDescent="0.25"/>
    <row r="148"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sheetProtection algorithmName="SHA-512" hashValue="QQWdrQnldhhN4lmEGCLUolmrEo9NZtOHj2gZbSRTFIzmWpCnpPP5IQGX4qWI6dngQhfx4UkHpkadKH825t6xOA==" saltValue="Y1tHDy+mmAtdUvJDzdnZKw=="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topLeftCell="C1" zoomScale="80" zoomScaleNormal="80" workbookViewId="0">
      <selection sqref="A1:AF1"/>
    </sheetView>
  </sheetViews>
  <sheetFormatPr defaultColWidth="16.44140625" defaultRowHeight="13.8" x14ac:dyDescent="0.25"/>
  <cols>
    <col min="1" max="1" width="88.77734375" style="30" bestFit="1" customWidth="1"/>
    <col min="2" max="2" width="27.77734375" style="30" customWidth="1"/>
    <col min="3" max="3" width="18.5546875" style="30" customWidth="1"/>
    <col min="4" max="4" width="62.77734375" style="30" bestFit="1" customWidth="1"/>
    <col min="5" max="35" width="16.44140625" style="30"/>
    <col min="36" max="36" width="23.77734375" style="30" customWidth="1"/>
    <col min="37" max="38" width="16.44140625" style="30"/>
    <col min="39" max="39" width="24.77734375" style="30" customWidth="1"/>
    <col min="40" max="40" width="25.77734375" style="30" customWidth="1"/>
    <col min="41" max="41" width="23.21875" style="30" customWidth="1"/>
    <col min="42" max="42" width="23.5546875" style="30" customWidth="1"/>
    <col min="43" max="46" width="16.44140625" style="30"/>
    <col min="47" max="47" width="78.44140625" style="30" customWidth="1"/>
    <col min="48" max="48" width="24.44140625" style="30" bestFit="1" customWidth="1"/>
    <col min="49" max="49" width="16.77734375" style="30" bestFit="1" customWidth="1"/>
    <col min="50" max="50" width="23.5546875" style="30" bestFit="1" customWidth="1"/>
    <col min="51" max="51" width="28.21875" style="30" customWidth="1"/>
    <col min="52" max="52" width="29.21875" style="30" bestFit="1" customWidth="1"/>
    <col min="53" max="53" width="26.21875" style="30" bestFit="1" customWidth="1"/>
    <col min="54" max="54" width="25.77734375" style="30" bestFit="1" customWidth="1"/>
    <col min="55" max="55" width="28.21875" style="30" bestFit="1" customWidth="1"/>
    <col min="56" max="57" width="34.77734375" style="30" bestFit="1" customWidth="1"/>
    <col min="58" max="58" width="27.21875" style="30" bestFit="1" customWidth="1"/>
    <col min="59" max="59" width="9.21875" style="30" bestFit="1" customWidth="1"/>
    <col min="60" max="16384" width="16.44140625" style="30"/>
  </cols>
  <sheetData>
    <row r="1" spans="1:59" ht="51.6" customHeight="1" x14ac:dyDescent="0.6">
      <c r="A1" s="1640" t="s">
        <v>930</v>
      </c>
      <c r="B1" s="1640"/>
      <c r="C1" s="1640"/>
      <c r="D1" s="1640"/>
      <c r="E1" s="1640"/>
      <c r="F1" s="1640"/>
      <c r="G1" s="1640"/>
      <c r="H1" s="1640"/>
      <c r="I1" s="1640"/>
      <c r="J1" s="1640"/>
      <c r="K1" s="1640"/>
      <c r="L1" s="1640"/>
      <c r="M1" s="1640"/>
      <c r="N1" s="1640"/>
      <c r="O1" s="1640"/>
      <c r="P1" s="1640"/>
      <c r="Q1" s="1640"/>
      <c r="R1" s="1640"/>
      <c r="S1" s="1640"/>
      <c r="T1" s="1640"/>
      <c r="U1" s="1640"/>
      <c r="V1" s="1640"/>
      <c r="W1" s="1640"/>
      <c r="X1" s="1640"/>
      <c r="Y1" s="1640"/>
      <c r="Z1" s="1640"/>
      <c r="AA1" s="1640"/>
      <c r="AB1" s="1640"/>
      <c r="AC1" s="1640"/>
      <c r="AD1" s="1640"/>
      <c r="AE1" s="1640"/>
      <c r="AF1" s="1640"/>
      <c r="AG1" s="96"/>
      <c r="AJ1" s="1634" t="s">
        <v>931</v>
      </c>
      <c r="AK1" s="1635"/>
      <c r="AL1" s="1635"/>
      <c r="AM1" s="1635"/>
      <c r="AN1" s="1635"/>
      <c r="AO1" s="1635"/>
      <c r="AP1" s="1636"/>
      <c r="AU1" s="1637" t="s">
        <v>932</v>
      </c>
      <c r="AV1" s="1638"/>
      <c r="AW1" s="1638"/>
      <c r="AX1" s="1638"/>
      <c r="AY1" s="1638"/>
      <c r="AZ1" s="1638"/>
      <c r="BA1" s="1638"/>
      <c r="BB1" s="1638"/>
      <c r="BC1" s="1638"/>
      <c r="BD1" s="1638"/>
      <c r="BE1" s="1638"/>
      <c r="BF1" s="1638"/>
      <c r="BG1" s="1639"/>
    </row>
    <row r="2" spans="1:59" ht="22.8" x14ac:dyDescent="0.4">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55" customHeight="1" x14ac:dyDescent="0.6">
      <c r="A3" s="78" t="s">
        <v>933</v>
      </c>
      <c r="B3" s="78" t="s">
        <v>220</v>
      </c>
      <c r="C3" s="78" t="s">
        <v>269</v>
      </c>
      <c r="D3" s="78" t="s">
        <v>934</v>
      </c>
      <c r="E3" s="78" t="s">
        <v>935</v>
      </c>
      <c r="F3" s="78" t="s">
        <v>936</v>
      </c>
      <c r="G3" s="78" t="s">
        <v>937</v>
      </c>
      <c r="H3" s="78" t="s">
        <v>938</v>
      </c>
      <c r="I3" s="78" t="s">
        <v>939</v>
      </c>
      <c r="J3" s="78" t="s">
        <v>940</v>
      </c>
      <c r="K3" s="78" t="s">
        <v>941</v>
      </c>
      <c r="L3" s="78" t="s">
        <v>942</v>
      </c>
      <c r="M3" s="78" t="s">
        <v>943</v>
      </c>
      <c r="N3" s="78" t="s">
        <v>944</v>
      </c>
      <c r="O3" s="78" t="s">
        <v>945</v>
      </c>
      <c r="P3" s="78" t="s">
        <v>946</v>
      </c>
      <c r="Q3" s="78" t="s">
        <v>947</v>
      </c>
      <c r="R3" s="78" t="s">
        <v>948</v>
      </c>
      <c r="S3" s="78" t="s">
        <v>949</v>
      </c>
      <c r="T3" s="78" t="s">
        <v>950</v>
      </c>
      <c r="U3" s="78" t="s">
        <v>951</v>
      </c>
      <c r="V3" s="78" t="s">
        <v>952</v>
      </c>
      <c r="W3" s="78" t="s">
        <v>953</v>
      </c>
      <c r="X3" s="78" t="s">
        <v>954</v>
      </c>
      <c r="Y3" s="78" t="s">
        <v>955</v>
      </c>
      <c r="Z3" s="78" t="s">
        <v>956</v>
      </c>
      <c r="AA3" s="78" t="s">
        <v>957</v>
      </c>
      <c r="AB3" s="78" t="s">
        <v>958</v>
      </c>
      <c r="AC3" s="78" t="s">
        <v>959</v>
      </c>
      <c r="AD3" s="78" t="s">
        <v>960</v>
      </c>
      <c r="AE3" s="78" t="s">
        <v>961</v>
      </c>
      <c r="AF3" s="78" t="s">
        <v>962</v>
      </c>
      <c r="AJ3" s="537" t="s">
        <v>963</v>
      </c>
      <c r="AK3" s="538" t="s">
        <v>964</v>
      </c>
      <c r="AL3" s="538" t="s">
        <v>965</v>
      </c>
      <c r="AM3" s="538" t="s">
        <v>966</v>
      </c>
      <c r="AN3" s="538" t="s">
        <v>967</v>
      </c>
      <c r="AO3" s="538" t="s">
        <v>119</v>
      </c>
      <c r="AP3" s="538" t="s">
        <v>120</v>
      </c>
      <c r="AU3" s="87" t="s">
        <v>211</v>
      </c>
      <c r="AV3" s="88"/>
      <c r="AW3" s="89"/>
      <c r="AX3" s="89"/>
      <c r="AY3" s="89"/>
      <c r="AZ3" s="89"/>
      <c r="BA3" s="89"/>
      <c r="BB3" s="89"/>
      <c r="BC3" s="89"/>
      <c r="BD3" s="89"/>
      <c r="BE3" s="89"/>
      <c r="BF3" s="89"/>
      <c r="BG3" s="89"/>
    </row>
    <row r="4" spans="1:59" ht="31.2"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968</v>
      </c>
      <c r="AV4" s="97" t="s">
        <v>220</v>
      </c>
      <c r="AW4" s="97" t="s">
        <v>969</v>
      </c>
      <c r="AX4" s="97" t="s">
        <v>970</v>
      </c>
      <c r="AY4" s="97" t="s">
        <v>971</v>
      </c>
      <c r="AZ4" s="97" t="s">
        <v>972</v>
      </c>
      <c r="BA4" s="97" t="s">
        <v>973</v>
      </c>
      <c r="BB4" s="97" t="s">
        <v>974</v>
      </c>
      <c r="BC4" s="97" t="s">
        <v>975</v>
      </c>
      <c r="BD4" s="97" t="s">
        <v>976</v>
      </c>
      <c r="BE4" s="97" t="s">
        <v>977</v>
      </c>
      <c r="BF4" s="97" t="s">
        <v>978</v>
      </c>
      <c r="BG4" s="97" t="s">
        <v>979</v>
      </c>
    </row>
    <row r="5" spans="1:59" ht="14.55" customHeight="1" x14ac:dyDescent="0.25">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125</v>
      </c>
      <c r="AK5" s="549">
        <f t="shared" si="7"/>
        <v>0.121</v>
      </c>
      <c r="AL5" s="549">
        <f t="shared" si="8"/>
        <v>1.452</v>
      </c>
      <c r="AM5" s="549">
        <f t="shared" si="9"/>
        <v>0.27549999999999997</v>
      </c>
      <c r="AN5" s="549">
        <f t="shared" si="10"/>
        <v>1.77983081865648</v>
      </c>
      <c r="AO5" s="651">
        <f t="shared" si="11"/>
        <v>0.1545</v>
      </c>
      <c r="AP5" s="651">
        <f t="shared" si="12"/>
        <v>0.32783081865647989</v>
      </c>
      <c r="AU5" s="91" t="s">
        <v>527</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55" customHeight="1" x14ac:dyDescent="0.25">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0</v>
      </c>
      <c r="AL6" s="549">
        <f t="shared" si="8"/>
        <v>0</v>
      </c>
      <c r="AM6" s="549">
        <f t="shared" si="9"/>
        <v>0</v>
      </c>
      <c r="AN6" s="549">
        <f t="shared" si="10"/>
        <v>0</v>
      </c>
      <c r="AO6" s="651">
        <f t="shared" si="11"/>
        <v>0</v>
      </c>
      <c r="AP6" s="651">
        <f t="shared" si="12"/>
        <v>0</v>
      </c>
      <c r="AU6" s="91" t="s">
        <v>533</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55" customHeight="1" x14ac:dyDescent="0.25">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127</v>
      </c>
      <c r="AK7" s="549">
        <f t="shared" si="7"/>
        <v>4.4999999999999997E-3</v>
      </c>
      <c r="AL7" s="549">
        <f t="shared" si="8"/>
        <v>8.9999999999999993E-3</v>
      </c>
      <c r="AM7" s="549">
        <f t="shared" si="9"/>
        <v>8.5000000000000006E-3</v>
      </c>
      <c r="AN7" s="549">
        <f t="shared" si="10"/>
        <v>2.444E-2</v>
      </c>
      <c r="AO7" s="651">
        <f t="shared" si="11"/>
        <v>4.0000000000000001E-3</v>
      </c>
      <c r="AP7" s="651">
        <f t="shared" si="12"/>
        <v>1.5440000000000001E-2</v>
      </c>
      <c r="AU7" s="91" t="s">
        <v>560</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55" customHeight="1" x14ac:dyDescent="0.25">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0</v>
      </c>
      <c r="AF8" s="346">
        <f t="shared" si="15"/>
        <v>0</v>
      </c>
      <c r="AJ8" s="83" t="s">
        <v>128</v>
      </c>
      <c r="AK8" s="549">
        <f t="shared" si="7"/>
        <v>0</v>
      </c>
      <c r="AL8" s="549">
        <f t="shared" si="8"/>
        <v>0</v>
      </c>
      <c r="AM8" s="549">
        <f t="shared" si="9"/>
        <v>0</v>
      </c>
      <c r="AN8" s="549">
        <f t="shared" si="10"/>
        <v>0</v>
      </c>
      <c r="AO8" s="651">
        <f t="shared" si="11"/>
        <v>0</v>
      </c>
      <c r="AP8" s="651">
        <f t="shared" si="12"/>
        <v>0</v>
      </c>
      <c r="AU8" s="91" t="s">
        <v>591</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55" customHeight="1" x14ac:dyDescent="0.25">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4.8600000000000004E-2</v>
      </c>
      <c r="AL9" s="549">
        <f t="shared" si="8"/>
        <v>1.9599999999999999E-2</v>
      </c>
      <c r="AM9" s="549">
        <f t="shared" si="9"/>
        <v>0.13059999999999999</v>
      </c>
      <c r="AN9" s="549">
        <f t="shared" si="10"/>
        <v>8.2603999999999997E-2</v>
      </c>
      <c r="AO9" s="651">
        <f t="shared" si="11"/>
        <v>8.199999999999999E-2</v>
      </c>
      <c r="AP9" s="651">
        <f t="shared" si="12"/>
        <v>6.3004000000000004E-2</v>
      </c>
      <c r="AU9" s="91" t="s">
        <v>613</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25">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649</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55" customHeight="1" x14ac:dyDescent="0.25">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0.3644</v>
      </c>
      <c r="AL11" s="549">
        <f t="shared" si="8"/>
        <v>7.2151200000000006</v>
      </c>
      <c r="AM11" s="549">
        <f t="shared" si="9"/>
        <v>0.1239</v>
      </c>
      <c r="AN11" s="549">
        <f t="shared" si="10"/>
        <v>2.45322</v>
      </c>
      <c r="AO11" s="651">
        <f t="shared" si="11"/>
        <v>-0.24049999999999999</v>
      </c>
      <c r="AP11" s="651">
        <f t="shared" si="12"/>
        <v>-4.7619000000000007</v>
      </c>
      <c r="AU11" s="91" t="s">
        <v>671</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55" customHeight="1" x14ac:dyDescent="0.25">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747</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55" customHeight="1" x14ac:dyDescent="0.25">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751</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55" customHeight="1" x14ac:dyDescent="0.25">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756</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25">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762</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25">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136</v>
      </c>
      <c r="AK16" s="549">
        <f t="shared" si="7"/>
        <v>0</v>
      </c>
      <c r="AL16" s="549">
        <f t="shared" si="8"/>
        <v>0</v>
      </c>
      <c r="AM16" s="549">
        <f t="shared" si="9"/>
        <v>0</v>
      </c>
      <c r="AN16" s="549">
        <f t="shared" si="10"/>
        <v>0</v>
      </c>
      <c r="AO16" s="651">
        <f t="shared" si="11"/>
        <v>0</v>
      </c>
      <c r="AP16" s="651">
        <f t="shared" si="12"/>
        <v>0</v>
      </c>
      <c r="AU16" s="91" t="s">
        <v>765</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25">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v>
      </c>
      <c r="AL17" s="549">
        <f t="shared" si="8"/>
        <v>0</v>
      </c>
      <c r="AM17" s="549">
        <f t="shared" si="9"/>
        <v>0</v>
      </c>
      <c r="AN17" s="549">
        <f t="shared" si="10"/>
        <v>0</v>
      </c>
      <c r="AO17" s="549">
        <f t="shared" si="11"/>
        <v>0</v>
      </c>
      <c r="AP17" s="549">
        <f t="shared" si="12"/>
        <v>0</v>
      </c>
      <c r="AU17" s="91" t="s">
        <v>770</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25">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776</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25">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821</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31.2" x14ac:dyDescent="0.2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0</v>
      </c>
      <c r="F20" s="346">
        <f>SUMIF('A-1 On-Site Habitat Baseline'!$G$11:$G$258,'G-2 Habitat groups'!A20,'A-1 On-Site Habitat Baseline'!$Q$11:$Q$258)</f>
        <v>0</v>
      </c>
      <c r="G20" s="346">
        <f>SUMIF('A-1 On-Site Habitat Baseline'!$G$11:$G$258,'G-2 Habitat groups'!A20,'A-1 On-Site Habitat Baseline'!$S$11:$S$258)</f>
        <v>0</v>
      </c>
      <c r="H20" s="346">
        <f>SUMIF('A-1 On-Site Habitat Baseline'!$G$11:$G$258,'G-2 Habitat groups'!A20,'A-1 On-Site Habitat Baseline'!$U$11:$U$258)</f>
        <v>0</v>
      </c>
      <c r="I20" s="346">
        <f>SUMIF('A-1 On-Site Habitat Baseline'!$G$11:$G$258,'G-2 Habitat groups'!A20,'A-1 On-Site Habitat Baseline'!$W$11:$W$258)</f>
        <v>0</v>
      </c>
      <c r="J20" s="346">
        <f>SUMIF('A-1 On-Site Habitat Baseline'!$G$11:$G$258,'G-2 Habitat groups'!A20,'A-1 On-Site Habitat Baseline'!$X$11:$X$258)</f>
        <v>0</v>
      </c>
      <c r="K20" s="346">
        <f>SUMIF('A-2 On-Site Habitat Creation'!$F$11:$F$256,'G-2 Habitat groups'!A20,'A-2 On-Site Habitat Creation'!$G$11:$G$256)</f>
        <v>0.14360000000000001</v>
      </c>
      <c r="L20" s="346">
        <f>SUMIF('A-2 On-Site Habitat Creation'!$F$11:$F$256,'G-2 Habitat groups'!A20,'A-2 On-Site Habitat Creation'!$Y$11:$Y$256)</f>
        <v>0.67142403505271997</v>
      </c>
      <c r="M20" s="346">
        <f>SUMIF('A-3 On-Site Habitat Enhancement'!$S$12:$S$257,'G-2 Habitat groups'!A20,'A-3 On-Site Habitat Enhancement'!$V$12:$V$257)</f>
        <v>0</v>
      </c>
      <c r="N20" s="346">
        <f>SUMIF('A-3 On-Site Habitat Enhancement'!$S$12:$S$257,'G-2 Habitat groups'!A20,'A-3 On-Site Habitat Enhancement'!$AN$12:$AN$257)</f>
        <v>0</v>
      </c>
      <c r="O20" s="346">
        <f t="shared" si="0"/>
        <v>0.14360000000000001</v>
      </c>
      <c r="P20" s="346">
        <f t="shared" si="1"/>
        <v>0.67142403505271997</v>
      </c>
      <c r="Q20" s="346">
        <f t="shared" si="2"/>
        <v>0.14360000000000001</v>
      </c>
      <c r="R20" s="346">
        <f t="shared" si="3"/>
        <v>0.67142403505271997</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0.14360000000000001</v>
      </c>
      <c r="AF20" s="346">
        <f t="shared" si="15"/>
        <v>0.67142403505271997</v>
      </c>
      <c r="AJ20" s="539" t="s">
        <v>980</v>
      </c>
      <c r="AK20" s="539" t="s">
        <v>964</v>
      </c>
      <c r="AL20" s="539" t="s">
        <v>965</v>
      </c>
      <c r="AM20" s="539" t="s">
        <v>981</v>
      </c>
      <c r="AN20" s="539" t="s">
        <v>982</v>
      </c>
      <c r="AO20" s="539" t="s">
        <v>146</v>
      </c>
      <c r="AP20" s="539" t="s">
        <v>983</v>
      </c>
      <c r="AU20" s="91" t="s">
        <v>831</v>
      </c>
      <c r="AV20" s="68" t="s">
        <v>984</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25">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838</v>
      </c>
      <c r="AV21" s="68" t="s">
        <v>984</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25">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0.121</v>
      </c>
      <c r="F22" s="346">
        <f>SUMIF('A-1 On-Site Habitat Baseline'!$G$11:$G$258,'G-2 Habitat groups'!A22,'A-1 On-Site Habitat Baseline'!$Q$11:$Q$258)</f>
        <v>1.452</v>
      </c>
      <c r="G22" s="346">
        <f>SUMIF('A-1 On-Site Habitat Baseline'!$G$11:$G$258,'G-2 Habitat groups'!A22,'A-1 On-Site Habitat Baseline'!$S$11:$S$258)</f>
        <v>0</v>
      </c>
      <c r="H22" s="346">
        <f>SUMIF('A-1 On-Site Habitat Baseline'!$G$11:$G$258,'G-2 Habitat groups'!A22,'A-1 On-Site Habitat Baseline'!$U$11:$U$258)</f>
        <v>0</v>
      </c>
      <c r="I22" s="346">
        <f>SUMIF('A-1 On-Site Habitat Baseline'!$G$11:$G$258,'G-2 Habitat groups'!A22,'A-1 On-Site Habitat Baseline'!$W$11:$W$258)</f>
        <v>0.121</v>
      </c>
      <c r="J22" s="346">
        <f>SUMIF('A-1 On-Site Habitat Baseline'!$G$11:$G$258,'G-2 Habitat groups'!A22,'A-1 On-Site Habitat Baseline'!$X$11:$X$258)</f>
        <v>1.452</v>
      </c>
      <c r="K22" s="346">
        <f>SUMIF('A-2 On-Site Habitat Creation'!$F$11:$F$256,'G-2 Habitat groups'!A22,'A-2 On-Site Habitat Creation'!$G$11:$G$256)</f>
        <v>0.13189999999999999</v>
      </c>
      <c r="L22" s="346">
        <f>SUMIF('A-2 On-Site Habitat Creation'!$F$11:$F$256,'G-2 Habitat groups'!A22,'A-2 On-Site Habitat Creation'!$Y$11:$Y$256)</f>
        <v>1.1084067836037599</v>
      </c>
      <c r="M22" s="346">
        <f>SUMIF('A-3 On-Site Habitat Enhancement'!$S$12:$S$257,'G-2 Habitat groups'!A22,'A-3 On-Site Habitat Enhancement'!$V$12:$V$257)</f>
        <v>0</v>
      </c>
      <c r="N22" s="346">
        <f>SUMIF('A-3 On-Site Habitat Enhancement'!$S$12:$S$257,'G-2 Habitat groups'!A22,'A-3 On-Site Habitat Enhancement'!$AN$12:$AN$257)</f>
        <v>0</v>
      </c>
      <c r="O22" s="346">
        <f t="shared" si="0"/>
        <v>0.13189999999999999</v>
      </c>
      <c r="P22" s="346">
        <f t="shared" si="1"/>
        <v>1.1084067836037599</v>
      </c>
      <c r="Q22" s="346">
        <f t="shared" si="2"/>
        <v>1.0899999999999993E-2</v>
      </c>
      <c r="R22" s="346">
        <f t="shared" si="3"/>
        <v>-0.34359321639624008</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1.0899999999999993E-2</v>
      </c>
      <c r="AF22" s="346">
        <f t="shared" si="15"/>
        <v>-0.34359321639624008</v>
      </c>
      <c r="AJ22" s="82" t="s">
        <v>125</v>
      </c>
      <c r="AK22" s="549">
        <f t="shared" si="27"/>
        <v>0</v>
      </c>
      <c r="AL22" s="549">
        <f t="shared" si="28"/>
        <v>0</v>
      </c>
      <c r="AM22" s="549">
        <f t="shared" si="29"/>
        <v>0</v>
      </c>
      <c r="AN22" s="549">
        <f t="shared" si="30"/>
        <v>0</v>
      </c>
      <c r="AO22" s="651">
        <f t="shared" si="31"/>
        <v>0</v>
      </c>
      <c r="AP22" s="651">
        <f t="shared" si="32"/>
        <v>0</v>
      </c>
      <c r="AU22" s="91" t="s">
        <v>845</v>
      </c>
      <c r="AV22" s="68" t="s">
        <v>984</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00000000000001" customHeight="1" x14ac:dyDescent="0.25">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852</v>
      </c>
      <c r="AV23" s="68" t="s">
        <v>984</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25">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876</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25">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25">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 customHeight="1" x14ac:dyDescent="0.25">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3" t="s">
        <v>213</v>
      </c>
    </row>
    <row r="28" spans="1:59" ht="15.6" customHeight="1" x14ac:dyDescent="0.25">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131</v>
      </c>
      <c r="AK28" s="549">
        <f t="shared" si="27"/>
        <v>0</v>
      </c>
      <c r="AL28" s="549">
        <f t="shared" si="28"/>
        <v>0</v>
      </c>
      <c r="AM28" s="549">
        <f t="shared" si="29"/>
        <v>0</v>
      </c>
      <c r="AN28" s="549">
        <f t="shared" si="30"/>
        <v>0</v>
      </c>
      <c r="AO28" s="651">
        <f t="shared" si="31"/>
        <v>0</v>
      </c>
      <c r="AP28" s="651">
        <f t="shared" si="32"/>
        <v>0</v>
      </c>
      <c r="AU28" s="1633"/>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968</v>
      </c>
      <c r="AV29" s="97" t="s">
        <v>220</v>
      </c>
      <c r="AW29" s="97" t="s">
        <v>969</v>
      </c>
      <c r="AX29" s="97" t="s">
        <v>970</v>
      </c>
      <c r="AY29" s="97" t="s">
        <v>971</v>
      </c>
      <c r="AZ29" s="97" t="s">
        <v>972</v>
      </c>
      <c r="BA29" s="97" t="s">
        <v>973</v>
      </c>
      <c r="BB29" s="97" t="s">
        <v>985</v>
      </c>
      <c r="BC29" s="97" t="s">
        <v>975</v>
      </c>
      <c r="BD29" s="97" t="s">
        <v>976</v>
      </c>
      <c r="BE29" s="97" t="s">
        <v>977</v>
      </c>
      <c r="BF29" s="97" t="s">
        <v>978</v>
      </c>
    </row>
    <row r="30" spans="1:59" x14ac:dyDescent="0.25">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509</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25">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516</v>
      </c>
      <c r="AV31" s="68" t="s">
        <v>125</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25">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521</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25">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0</v>
      </c>
      <c r="L33" s="346">
        <f>SUMIF('A-2 On-Site Habitat Creation'!$F$11:$F$256,'G-2 Habitat groups'!A33,'A-2 On-Site Habitat Creation'!$Y$11:$Y$256)</f>
        <v>0</v>
      </c>
      <c r="M33" s="346">
        <f>SUMIF('A-3 On-Site Habitat Enhancement'!$S$12:$S$257,'G-2 Habitat groups'!A33,'A-3 On-Site Habitat Enhancement'!$V$12:$V$257)</f>
        <v>0</v>
      </c>
      <c r="N33" s="346">
        <f>SUMIF('A-3 On-Site Habitat Enhancement'!$S$12:$S$257,'G-2 Habitat groups'!A33,'A-3 On-Site Habitat Enhancement'!$AN$12:$AN$257)</f>
        <v>0</v>
      </c>
      <c r="O33" s="346">
        <f t="shared" si="0"/>
        <v>0</v>
      </c>
      <c r="P33" s="346">
        <f t="shared" si="1"/>
        <v>0</v>
      </c>
      <c r="Q33" s="346">
        <f t="shared" si="2"/>
        <v>0</v>
      </c>
      <c r="R33" s="346">
        <f t="shared" si="3"/>
        <v>0</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v>
      </c>
      <c r="AF33" s="346">
        <f t="shared" si="15"/>
        <v>0</v>
      </c>
      <c r="AJ33" s="84" t="s">
        <v>136</v>
      </c>
      <c r="AK33" s="549">
        <f t="shared" si="27"/>
        <v>0</v>
      </c>
      <c r="AL33" s="549">
        <f t="shared" si="28"/>
        <v>0</v>
      </c>
      <c r="AM33" s="549">
        <f t="shared" si="29"/>
        <v>0</v>
      </c>
      <c r="AN33" s="549">
        <f t="shared" si="30"/>
        <v>0</v>
      </c>
      <c r="AO33" s="651">
        <f t="shared" si="31"/>
        <v>0</v>
      </c>
      <c r="AP33" s="651">
        <f t="shared" si="32"/>
        <v>0</v>
      </c>
      <c r="AU33" s="86" t="s">
        <v>548</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25">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557</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25">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986</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25">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597</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25">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609</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25">
      <c r="A38" s="79" t="s">
        <v>606</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25">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621</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25">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624</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25">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4.4999999999999997E-3</v>
      </c>
      <c r="F41" s="346">
        <f>SUMIF('A-1 On-Site Habitat Baseline'!$G$11:$G$258,'G-2 Habitat groups'!A41,'A-1 On-Site Habitat Baseline'!$Q$11:$Q$258)</f>
        <v>8.9999999999999993E-3</v>
      </c>
      <c r="G41" s="346">
        <f>SUMIF('A-1 On-Site Habitat Baseline'!$G$11:$G$258,'G-2 Habitat groups'!A41,'A-1 On-Site Habitat Baseline'!$S$11:$S$258)</f>
        <v>4.4999999999999997E-3</v>
      </c>
      <c r="H41" s="346">
        <f>SUMIF('A-1 On-Site Habitat Baseline'!$G$11:$G$258,'G-2 Habitat groups'!A41,'A-1 On-Site Habitat Baseline'!$U$11:$U$258)</f>
        <v>8.9999999999999993E-3</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4.4999999999999997E-3</v>
      </c>
      <c r="P41" s="346">
        <f t="shared" si="44"/>
        <v>8.9999999999999993E-3</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627</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25">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630</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25">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633</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25">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636</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25">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645</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25">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653</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25">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657</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25">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4.0000000000000001E-3</v>
      </c>
      <c r="L48" s="346">
        <f>SUMIF('A-2 On-Site Habitat Creation'!$F$11:$F$256,'G-2 Habitat groups'!A48,'A-2 On-Site Habitat Creation'!$Y$11:$Y$256)</f>
        <v>1.5440000000000001E-2</v>
      </c>
      <c r="M48" s="346">
        <f>SUMIF('A-3 On-Site Habitat Enhancement'!$S$12:$S$257,'G-2 Habitat groups'!A48,'A-3 On-Site Habitat Enhancement'!$V$12:$V$257)</f>
        <v>0</v>
      </c>
      <c r="N48" s="346">
        <f>SUMIF('A-3 On-Site Habitat Enhancement'!$S$12:$S$257,'G-2 Habitat groups'!A48,'A-3 On-Site Habitat Enhancement'!$AN$12:$AN$257)</f>
        <v>0</v>
      </c>
      <c r="O48" s="346">
        <f t="shared" si="43"/>
        <v>4.0000000000000001E-3</v>
      </c>
      <c r="P48" s="346">
        <f t="shared" si="44"/>
        <v>1.5440000000000001E-2</v>
      </c>
      <c r="Q48" s="346">
        <f t="shared" si="45"/>
        <v>4.0000000000000001E-3</v>
      </c>
      <c r="R48" s="346">
        <f t="shared" si="46"/>
        <v>1.5440000000000001E-2</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4.0000000000000001E-3</v>
      </c>
      <c r="AF48" s="346">
        <f t="shared" si="52"/>
        <v>1.5440000000000001E-2</v>
      </c>
      <c r="AU48" s="86" t="s">
        <v>666</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25">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674</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25">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715</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25">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773</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25">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779</v>
      </c>
      <c r="AV52" s="68" t="s">
        <v>131</v>
      </c>
      <c r="AW52" s="358">
        <f t="shared" si="33"/>
        <v>0.3644</v>
      </c>
      <c r="AX52" s="358">
        <f t="shared" si="34"/>
        <v>4.7619000000000007</v>
      </c>
      <c r="AY52" s="358">
        <f t="shared" si="35"/>
        <v>0.1239</v>
      </c>
      <c r="AZ52" s="358">
        <f t="shared" si="36"/>
        <v>2.45322</v>
      </c>
      <c r="BA52" s="358">
        <f t="shared" si="37"/>
        <v>-0.24049999999999999</v>
      </c>
      <c r="BB52" s="358">
        <f t="shared" si="38"/>
        <v>-4.7619000000000007</v>
      </c>
      <c r="BC52" s="358">
        <f t="shared" si="39"/>
        <v>0</v>
      </c>
      <c r="BD52" s="358">
        <f t="shared" si="40"/>
        <v>0</v>
      </c>
      <c r="BE52" s="358">
        <f t="shared" si="41"/>
        <v>-4.7619000000000007</v>
      </c>
      <c r="BF52" s="358">
        <f t="shared" si="42"/>
        <v>-4.7619000000000007</v>
      </c>
    </row>
    <row r="53" spans="1:58" x14ac:dyDescent="0.25">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782</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25">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786</v>
      </c>
      <c r="AV54" s="68" t="s">
        <v>131</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25">
      <c r="A55" s="79" t="s">
        <v>664</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25">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789</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25">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807</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25">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810</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25">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813</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25">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818</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25">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0</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v>
      </c>
      <c r="P61" s="346">
        <f t="shared" si="44"/>
        <v>0</v>
      </c>
      <c r="Q61" s="346">
        <f t="shared" si="45"/>
        <v>0</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0</v>
      </c>
      <c r="AF61" s="346">
        <f t="shared" si="52"/>
        <v>0</v>
      </c>
      <c r="AU61" s="86" t="s">
        <v>822</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25">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827</v>
      </c>
      <c r="AV62" s="68" t="s">
        <v>984</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25">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835</v>
      </c>
      <c r="AV63" s="68" t="s">
        <v>984</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25">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842</v>
      </c>
      <c r="AV64" s="68" t="s">
        <v>984</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25">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849</v>
      </c>
      <c r="AV65" s="68" t="s">
        <v>984</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25">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3.8800000000000001E-2</v>
      </c>
      <c r="F66" s="346">
        <f>SUMIF('A-1 On-Site Habitat Baseline'!$G$11:$G$258,'G-2 Habitat groups'!A66,'A-1 On-Site Habitat Baseline'!$Q$11:$Q$258)</f>
        <v>0</v>
      </c>
      <c r="G66" s="346">
        <f>SUMIF('A-1 On-Site Habitat Baseline'!$G$11:$G$258,'G-2 Habitat groups'!A66,'A-1 On-Site Habitat Baseline'!$S$11:$S$258)</f>
        <v>0</v>
      </c>
      <c r="H66" s="346">
        <f>SUMIF('A-1 On-Site Habitat Baseline'!$G$11:$G$258,'G-2 Habitat groups'!A66,'A-1 On-Site Habitat Baseline'!$U$11:$U$258)</f>
        <v>0</v>
      </c>
      <c r="I66" s="346">
        <f>SUMIF('A-1 On-Site Habitat Baseline'!$G$11:$G$258,'G-2 Habitat groups'!A66,'A-1 On-Site Habitat Baseline'!$W$11:$W$258)</f>
        <v>3.8800000000000001E-2</v>
      </c>
      <c r="J66" s="346">
        <f>SUMIF('A-1 On-Site Habitat Baseline'!$G$11:$G$258,'G-2 Habitat groups'!A66,'A-1 On-Site Habitat Baseline'!$X$11:$X$258)</f>
        <v>0</v>
      </c>
      <c r="K66" s="346">
        <f>SUMIF('A-2 On-Site Habitat Creation'!$F$11:$F$256,'G-2 Habitat groups'!A66,'A-2 On-Site Habitat Creation'!$G$11:$G$256)</f>
        <v>8.7799999999999989E-2</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8.7799999999999989E-2</v>
      </c>
      <c r="P66" s="346">
        <f t="shared" si="44"/>
        <v>0</v>
      </c>
      <c r="Q66" s="346">
        <f t="shared" si="45"/>
        <v>4.8999999999999988E-2</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4.8999999999999988E-2</v>
      </c>
      <c r="AF66" s="346">
        <f t="shared" si="52"/>
        <v>0</v>
      </c>
      <c r="AU66" s="68" t="s">
        <v>867</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25">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870</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25">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856</v>
      </c>
      <c r="AV68" s="68" t="s">
        <v>987</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25">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880</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25">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884</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25">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887</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25">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4.2799999999999998E-2</v>
      </c>
      <c r="L72" s="346">
        <f>SUMIF('A-2 On-Site Habitat Creation'!$F$11:$F$256,'G-2 Habitat groups'!A72,'A-2 On-Site Habitat Creation'!$Y$11:$Y$256)</f>
        <v>8.2603999999999997E-2</v>
      </c>
      <c r="M72" s="346">
        <f>SUMIF('A-3 On-Site Habitat Enhancement'!$S$12:$S$257,'G-2 Habitat groups'!A72,'A-3 On-Site Habitat Enhancement'!$V$12:$V$257)</f>
        <v>0</v>
      </c>
      <c r="N72" s="346">
        <f>SUMIF('A-3 On-Site Habitat Enhancement'!$S$12:$S$257,'G-2 Habitat groups'!A72,'A-3 On-Site Habitat Enhancement'!$AN$12:$AN$257)</f>
        <v>0</v>
      </c>
      <c r="O72" s="346">
        <f t="shared" si="53"/>
        <v>4.2799999999999998E-2</v>
      </c>
      <c r="P72" s="346">
        <f t="shared" si="54"/>
        <v>8.2603999999999997E-2</v>
      </c>
      <c r="Q72" s="346">
        <f t="shared" si="55"/>
        <v>4.2799999999999998E-2</v>
      </c>
      <c r="R72" s="346">
        <f t="shared" si="56"/>
        <v>8.2603999999999997E-2</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4.2799999999999998E-2</v>
      </c>
      <c r="AF72" s="346">
        <f t="shared" si="62"/>
        <v>8.2603999999999997E-2</v>
      </c>
      <c r="AU72" s="80" t="s">
        <v>914</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25">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25">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25">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25">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v>
      </c>
      <c r="L76" s="346">
        <f>SUMIF('A-2 On-Site Habitat Creation'!$F$11:$F$256,'G-2 Habitat groups'!A76,'A-2 On-Site Habitat Creation'!$Y$11:$Y$256)</f>
        <v>0</v>
      </c>
      <c r="M76" s="346">
        <f>SUMIF('A-3 On-Site Habitat Enhancement'!$S$12:$S$257,'G-2 Habitat groups'!A76,'A-3 On-Site Habitat Enhancement'!$V$12:$V$257)</f>
        <v>0</v>
      </c>
      <c r="N76" s="346">
        <f>SUMIF('A-3 On-Site Habitat Enhancement'!$S$12:$S$257,'G-2 Habitat groups'!A76,'A-3 On-Site Habitat Enhancement'!$AN$12:$AN$257)</f>
        <v>0</v>
      </c>
      <c r="O76" s="346">
        <f t="shared" si="53"/>
        <v>0</v>
      </c>
      <c r="P76" s="346">
        <f t="shared" si="54"/>
        <v>0</v>
      </c>
      <c r="Q76" s="346">
        <f t="shared" si="55"/>
        <v>0</v>
      </c>
      <c r="R76" s="346">
        <f t="shared" si="56"/>
        <v>0</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v>
      </c>
      <c r="AF76" s="346">
        <f t="shared" si="62"/>
        <v>0</v>
      </c>
    </row>
    <row r="77" spans="1:59" ht="35.4" x14ac:dyDescent="0.6">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968</v>
      </c>
      <c r="AV78" s="97" t="s">
        <v>220</v>
      </c>
      <c r="AW78" s="98" t="s">
        <v>969</v>
      </c>
      <c r="AX78" s="98" t="s">
        <v>970</v>
      </c>
      <c r="AY78" s="98" t="s">
        <v>971</v>
      </c>
      <c r="AZ78" s="98" t="s">
        <v>972</v>
      </c>
      <c r="BA78" s="98" t="s">
        <v>973</v>
      </c>
      <c r="BB78" s="98" t="s">
        <v>974</v>
      </c>
      <c r="BC78" s="98" t="s">
        <v>975</v>
      </c>
      <c r="BD78" s="97" t="s">
        <v>976</v>
      </c>
      <c r="BE78" s="98" t="s">
        <v>977</v>
      </c>
      <c r="BF78" s="98" t="s">
        <v>988</v>
      </c>
      <c r="BG78" s="93"/>
    </row>
    <row r="79" spans="1:59" x14ac:dyDescent="0.25">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462</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25">
      <c r="A80" s="79" t="s">
        <v>735</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744</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25">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9.7999999999999997E-3</v>
      </c>
      <c r="F81" s="346">
        <f>SUMIF('A-1 On-Site Habitat Baseline'!$G$11:$G$258,'G-2 Habitat groups'!A81,'A-1 On-Site Habitat Baseline'!$Q$11:$Q$258)</f>
        <v>1.9599999999999999E-2</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9.7999999999999997E-3</v>
      </c>
      <c r="J81" s="346">
        <f>SUMIF('A-1 On-Site Habitat Baseline'!$G$11:$G$258,'G-2 Habitat groups'!A81,'A-1 On-Site Habitat Baseline'!$X$11:$X$258)</f>
        <v>1.9599999999999999E-2</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-9.7999999999999997E-3</v>
      </c>
      <c r="R81" s="346">
        <f t="shared" si="56"/>
        <v>-1.9599999999999999E-2</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-9.7999999999999997E-3</v>
      </c>
      <c r="AF81" s="346">
        <f t="shared" si="62"/>
        <v>-1.9599999999999999E-2</v>
      </c>
      <c r="AU81" s="79" t="s">
        <v>470</v>
      </c>
      <c r="AV81" s="68" t="s">
        <v>124</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25">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474</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25">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478</v>
      </c>
      <c r="AV83" s="68" t="s">
        <v>124</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25">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542</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25">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545</v>
      </c>
      <c r="AV85" s="68" t="s">
        <v>125</v>
      </c>
      <c r="AW85" s="358">
        <f t="shared" si="63"/>
        <v>0.121</v>
      </c>
      <c r="AX85" s="358">
        <f t="shared" si="64"/>
        <v>1.452</v>
      </c>
      <c r="AY85" s="358">
        <f t="shared" si="65"/>
        <v>0.13189999999999999</v>
      </c>
      <c r="AZ85" s="358">
        <f t="shared" si="66"/>
        <v>1.1084067836037599</v>
      </c>
      <c r="BA85" s="358">
        <f t="shared" si="67"/>
        <v>1.0899999999999993E-2</v>
      </c>
      <c r="BB85" s="358">
        <f t="shared" si="68"/>
        <v>-0.34359321639624008</v>
      </c>
      <c r="BC85" s="358">
        <f t="shared" si="69"/>
        <v>0</v>
      </c>
      <c r="BD85" s="358">
        <f t="shared" si="70"/>
        <v>0</v>
      </c>
      <c r="BE85" s="358">
        <f t="shared" si="71"/>
        <v>-0.34359321639624008</v>
      </c>
      <c r="BF85" s="358">
        <f t="shared" si="72"/>
        <v>-0.34359321639624008</v>
      </c>
    </row>
    <row r="86" spans="1:58" x14ac:dyDescent="0.25">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554</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25">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563</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25">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568</v>
      </c>
      <c r="AV88" s="68" t="s">
        <v>126</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x14ac:dyDescent="0.25">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571</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25">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0.3644</v>
      </c>
      <c r="F90" s="346">
        <f>SUMIF('A-1 On-Site Habitat Baseline'!$G$11:$G$258,'G-2 Habitat groups'!A90,'A-1 On-Site Habitat Baseline'!$Q$11:$Q$258)</f>
        <v>7.2151200000000006</v>
      </c>
      <c r="G90" s="346">
        <f>SUMIF('A-1 On-Site Habitat Baseline'!$G$11:$G$258,'G-2 Habitat groups'!A90,'A-1 On-Site Habitat Baseline'!$S$11:$S$258)</f>
        <v>0.1239</v>
      </c>
      <c r="H90" s="346">
        <f>SUMIF('A-1 On-Site Habitat Baseline'!$G$11:$G$258,'G-2 Habitat groups'!A90,'A-1 On-Site Habitat Baseline'!$U$11:$U$258)</f>
        <v>2.45322</v>
      </c>
      <c r="I90" s="346">
        <f>SUMIF('A-1 On-Site Habitat Baseline'!$G$11:$G$258,'G-2 Habitat groups'!A90,'A-1 On-Site Habitat Baseline'!$W$11:$W$258)</f>
        <v>0.24049999999999999</v>
      </c>
      <c r="J90" s="346">
        <f>SUMIF('A-1 On-Site Habitat Baseline'!$G$11:$G$258,'G-2 Habitat groups'!A90,'A-1 On-Site Habitat Baseline'!$X$11:$X$258)</f>
        <v>4.7619000000000007</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0.1239</v>
      </c>
      <c r="P90" s="346">
        <f t="shared" si="54"/>
        <v>2.45322</v>
      </c>
      <c r="Q90" s="346">
        <f t="shared" si="55"/>
        <v>-0.24049999999999999</v>
      </c>
      <c r="R90" s="346">
        <f t="shared" si="56"/>
        <v>-4.7619000000000007</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-0.24049999999999999</v>
      </c>
      <c r="AF90" s="346">
        <f t="shared" si="62"/>
        <v>-4.7619000000000007</v>
      </c>
      <c r="AU90" s="79" t="s">
        <v>574</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25">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577</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25">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587</v>
      </c>
      <c r="AV92" s="68" t="s">
        <v>126</v>
      </c>
      <c r="AW92" s="358">
        <f t="shared" si="63"/>
        <v>0</v>
      </c>
      <c r="AX92" s="358">
        <f t="shared" si="64"/>
        <v>0</v>
      </c>
      <c r="AY92" s="358">
        <f t="shared" si="65"/>
        <v>0</v>
      </c>
      <c r="AZ92" s="358">
        <f t="shared" si="66"/>
        <v>0</v>
      </c>
      <c r="BA92" s="358">
        <f t="shared" si="67"/>
        <v>0</v>
      </c>
      <c r="BB92" s="358">
        <f t="shared" si="68"/>
        <v>0</v>
      </c>
      <c r="BC92" s="358">
        <f t="shared" si="69"/>
        <v>0</v>
      </c>
      <c r="BD92" s="358">
        <f t="shared" si="70"/>
        <v>0</v>
      </c>
      <c r="BE92" s="358">
        <f t="shared" si="71"/>
        <v>0</v>
      </c>
      <c r="BF92" s="358" t="str">
        <f t="shared" si="72"/>
        <v/>
      </c>
    </row>
    <row r="93" spans="1:58" x14ac:dyDescent="0.25">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639</v>
      </c>
      <c r="AV93" s="68" t="s">
        <v>127</v>
      </c>
      <c r="AW93" s="358">
        <f t="shared" si="63"/>
        <v>0</v>
      </c>
      <c r="AX93" s="358">
        <f t="shared" si="64"/>
        <v>0</v>
      </c>
      <c r="AY93" s="358">
        <f t="shared" si="65"/>
        <v>4.0000000000000001E-3</v>
      </c>
      <c r="AZ93" s="358">
        <f t="shared" si="66"/>
        <v>1.5440000000000001E-2</v>
      </c>
      <c r="BA93" s="358">
        <f t="shared" si="67"/>
        <v>4.0000000000000001E-3</v>
      </c>
      <c r="BB93" s="358">
        <f t="shared" si="68"/>
        <v>1.5440000000000001E-2</v>
      </c>
      <c r="BC93" s="358">
        <f t="shared" si="69"/>
        <v>0</v>
      </c>
      <c r="BD93" s="358">
        <f t="shared" si="70"/>
        <v>0</v>
      </c>
      <c r="BE93" s="358">
        <f t="shared" ref="BE93:BE104" si="73">BB93+BD93</f>
        <v>1.5440000000000001E-2</v>
      </c>
      <c r="BF93" s="358" t="str">
        <f t="shared" ref="BF93:BF104" si="74">IF(BE93&lt;0,BE93,"")</f>
        <v/>
      </c>
    </row>
    <row r="94" spans="1:58" x14ac:dyDescent="0.25">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643</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25">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679</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25">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v>
      </c>
      <c r="F96" s="346">
        <f>SUMIF('A-1 On-Site Habitat Baseline'!$G$11:$G$258,'G-2 Habitat groups'!A96,'A-1 On-Site Habitat Baseline'!$Q$11:$Q$258)</f>
        <v>0</v>
      </c>
      <c r="G96" s="346">
        <f>SUMIF('A-1 On-Site Habitat Baseline'!$G$11:$G$258,'G-2 Habitat groups'!A96,'A-1 On-Site Habitat Baseline'!$S$11:$S$258)</f>
        <v>0</v>
      </c>
      <c r="H96" s="346">
        <f>SUMIF('A-1 On-Site Habitat Baseline'!$G$11:$G$258,'G-2 Habitat groups'!A96,'A-1 On-Site Habitat Baseline'!$U$11:$U$258)</f>
        <v>0</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v>
      </c>
      <c r="P96" s="346">
        <f t="shared" si="54"/>
        <v>0</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695</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25">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710</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25">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797</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25">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801</v>
      </c>
      <c r="AV99" s="68" t="s">
        <v>131</v>
      </c>
      <c r="AW99" s="358">
        <f t="shared" si="63"/>
        <v>0</v>
      </c>
      <c r="AX99" s="358">
        <f t="shared" si="64"/>
        <v>0</v>
      </c>
      <c r="AY99" s="358">
        <f t="shared" si="65"/>
        <v>0</v>
      </c>
      <c r="AZ99" s="358">
        <f t="shared" si="66"/>
        <v>0</v>
      </c>
      <c r="BA99" s="358">
        <f t="shared" si="67"/>
        <v>0</v>
      </c>
      <c r="BB99" s="358">
        <f t="shared" si="68"/>
        <v>0</v>
      </c>
      <c r="BC99" s="358">
        <f t="shared" si="69"/>
        <v>0</v>
      </c>
      <c r="BD99" s="358">
        <f t="shared" si="70"/>
        <v>0</v>
      </c>
      <c r="BE99" s="358">
        <f t="shared" si="73"/>
        <v>0</v>
      </c>
      <c r="BF99" s="358" t="str">
        <f t="shared" si="74"/>
        <v/>
      </c>
    </row>
    <row r="100" spans="1:59" x14ac:dyDescent="0.25">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804</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25">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864</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25">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911</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7.6" x14ac:dyDescent="0.2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923</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25">
      <c r="A104" s="79" t="str">
        <f>'G-1 All Habitats'!B104</f>
        <v>Rocky shore - High energy littoral rock</v>
      </c>
      <c r="B104" s="68" t="str">
        <f>'G-1 All Habitats'!F104</f>
        <v>Rocky shore</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606</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25">
      <c r="A105" s="79" t="str">
        <f>'G-1 All Habitats'!B105</f>
        <v>Rocky shore - High energy littoral rock - on peat, clay or chalk</v>
      </c>
      <c r="B105" s="68" t="str">
        <f>'G-1 All Habitats'!F105</f>
        <v>Rocky shore</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740</v>
      </c>
      <c r="AV105" s="68" t="s">
        <v>138</v>
      </c>
      <c r="AW105" s="439">
        <f>VLOOKUP($AU105,AllHabsSummaryData,5,FALSE)</f>
        <v>0</v>
      </c>
      <c r="AX105" s="439">
        <f>VLOOKUP($AU105,AllHabsSummaryData,10,FALSE)</f>
        <v>0</v>
      </c>
      <c r="AY105" s="439">
        <f>VLOOKUP($AU105,AllHabsSummaryData,15,FALSE)</f>
        <v>0</v>
      </c>
      <c r="AZ105" s="439">
        <f>VLOOKUP($AU105,AllHabsSummaryData,16,FALSE)</f>
        <v>0</v>
      </c>
      <c r="BA105" s="439">
        <f>VLOOKUP($AU105,AllHabsSummaryData,17,FALSE)</f>
        <v>0</v>
      </c>
      <c r="BB105" s="439">
        <f>VLOOKUP($AU105,AllHabsSummaryData,18,FALSE)</f>
        <v>0</v>
      </c>
      <c r="BC105" s="439">
        <f>VLOOKUP($AU105,AllHabsSummaryData,27,FALSE)</f>
        <v>0</v>
      </c>
      <c r="BD105" s="439">
        <f>VLOOKUP($AU105,AllHabsSummaryData,30,FALSE)</f>
        <v>0</v>
      </c>
      <c r="BE105" s="439">
        <f t="shared" ref="BE105" si="85">BB105+BD105</f>
        <v>0</v>
      </c>
      <c r="BF105" s="439" t="str">
        <f t="shared" ref="BF105" si="86">IF(BE105&lt;0,BE105,"")</f>
        <v/>
      </c>
    </row>
    <row r="106" spans="1:59" x14ac:dyDescent="0.25">
      <c r="A106" s="79" t="str">
        <f>'G-1 All Habitats'!B106</f>
        <v>Rocky shore - Moderate energy littoral rock</v>
      </c>
      <c r="B106" s="68" t="str">
        <f>'G-1 All Habitats'!F106</f>
        <v>Rocky shore</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25">
      <c r="A107" s="79" t="str">
        <f>'G-1 All Habitats'!B107</f>
        <v>Rocky shore - Moderate energy littoral rock - on peat, clay or chalk</v>
      </c>
      <c r="B107" s="68" t="str">
        <f>'G-1 All Habitats'!F107</f>
        <v>Rocky shore</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25">
      <c r="A108" s="79" t="str">
        <f>'G-1 All Habitats'!B108</f>
        <v>Rocky shore - Low energy littoral rock</v>
      </c>
      <c r="B108" s="68" t="str">
        <f>'G-1 All Habitats'!F108</f>
        <v>Rocky shore</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25">
      <c r="A109" s="79" t="str">
        <f>'G-1 All Habitats'!B109</f>
        <v>Rocky shore - Low energy littoral rock - on peat, clay or chalk</v>
      </c>
      <c r="B109" s="68" t="str">
        <f>'G-1 All Habitats'!F109</f>
        <v>Rocky shore</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25">
      <c r="A110" s="79" t="str">
        <f>'G-1 All Habitats'!B110</f>
        <v>Rocky shore - Features of littoral rock</v>
      </c>
      <c r="B110" s="68" t="str">
        <f>'G-1 All Habitats'!F110</f>
        <v>Rocky shore</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5.4" x14ac:dyDescent="0.6">
      <c r="A111" s="79" t="str">
        <f>'G-1 All Habitats'!B111</f>
        <v>Rocky shore - Features of littoral rock - on peat, clay or chalk</v>
      </c>
      <c r="B111" s="68" t="str">
        <f>'G-1 All Habitats'!F111</f>
        <v>Rocky shore</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968</v>
      </c>
      <c r="AV112" s="97" t="s">
        <v>220</v>
      </c>
      <c r="AW112" s="98" t="s">
        <v>969</v>
      </c>
      <c r="AX112" s="98" t="s">
        <v>970</v>
      </c>
      <c r="AY112" s="98" t="s">
        <v>971</v>
      </c>
      <c r="AZ112" s="98" t="s">
        <v>972</v>
      </c>
      <c r="BA112" s="98" t="s">
        <v>973</v>
      </c>
      <c r="BB112" s="98" t="s">
        <v>974</v>
      </c>
      <c r="BC112" s="98" t="s">
        <v>975</v>
      </c>
      <c r="BD112" s="98" t="s">
        <v>976</v>
      </c>
      <c r="BE112" s="98" t="s">
        <v>977</v>
      </c>
      <c r="BF112" s="98" t="s">
        <v>988</v>
      </c>
      <c r="BG112" s="31"/>
    </row>
    <row r="113" spans="1:58" x14ac:dyDescent="0.25">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484</v>
      </c>
      <c r="AV113" s="68" t="s">
        <v>124</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0</v>
      </c>
      <c r="BE113" s="358">
        <f t="shared" ref="BE113:BE151" si="88">BB113+BD113</f>
        <v>0</v>
      </c>
      <c r="BF113" s="358" t="str">
        <f t="shared" ref="BF113:BF151" si="89">IF(BE113&lt;0,BE113,"")</f>
        <v/>
      </c>
    </row>
    <row r="114" spans="1:58" x14ac:dyDescent="0.25">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494</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25">
      <c r="A115" s="79" t="str">
        <f>'G-1 All Habitats'!B112</f>
        <v>Coastal saltmarsh - Saltmarshes and saline reedbeds</v>
      </c>
      <c r="B115" s="68" t="str">
        <f>'G-1 All Habitats'!F112</f>
        <v>Coastal saltmarsh</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498</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25">
      <c r="A116" s="79" t="str">
        <f>'G-1 All Habitats'!B113</f>
        <v>Coastal saltmarsh - Artificial saltmarshes and saline reedbeds</v>
      </c>
      <c r="B116" s="68" t="str">
        <f>'G-1 All Habitats'!F113</f>
        <v>Coastal saltmarsh</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502</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25">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506</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25">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490</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25">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538</v>
      </c>
      <c r="AV119" s="68" t="s">
        <v>125</v>
      </c>
      <c r="AW119" s="358">
        <f t="shared" si="87"/>
        <v>0</v>
      </c>
      <c r="AX119" s="358">
        <f t="shared" si="90"/>
        <v>0</v>
      </c>
      <c r="AY119" s="358">
        <f t="shared" si="91"/>
        <v>0.14360000000000001</v>
      </c>
      <c r="AZ119" s="358">
        <f t="shared" si="92"/>
        <v>0.67142403505271997</v>
      </c>
      <c r="BA119" s="358">
        <f t="shared" si="93"/>
        <v>0.14360000000000001</v>
      </c>
      <c r="BB119" s="358">
        <f t="shared" si="94"/>
        <v>0.67142403505271997</v>
      </c>
      <c r="BC119" s="358">
        <f t="shared" si="95"/>
        <v>0</v>
      </c>
      <c r="BD119" s="358">
        <f t="shared" si="96"/>
        <v>0</v>
      </c>
      <c r="BE119" s="358">
        <f t="shared" si="88"/>
        <v>0.67142403505271997</v>
      </c>
      <c r="BF119" s="358" t="str">
        <f t="shared" si="89"/>
        <v/>
      </c>
    </row>
    <row r="120" spans="1:58" x14ac:dyDescent="0.25">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511</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25">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594</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25">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618</v>
      </c>
      <c r="AV122" s="68" t="s">
        <v>127</v>
      </c>
      <c r="AW122" s="358">
        <f>VLOOKUP($AU123,AllHabsSummaryData,5,FALSE)</f>
        <v>0</v>
      </c>
      <c r="AX122" s="358">
        <f t="shared" si="90"/>
        <v>0</v>
      </c>
      <c r="AY122" s="358">
        <f t="shared" si="91"/>
        <v>4.4999999999999997E-3</v>
      </c>
      <c r="AZ122" s="358">
        <f t="shared" si="92"/>
        <v>8.9999999999999993E-3</v>
      </c>
      <c r="BA122" s="358">
        <f t="shared" si="93"/>
        <v>0</v>
      </c>
      <c r="BB122" s="358">
        <f t="shared" si="94"/>
        <v>0</v>
      </c>
      <c r="BC122" s="358">
        <f t="shared" si="95"/>
        <v>0</v>
      </c>
      <c r="BD122" s="358">
        <f t="shared" si="96"/>
        <v>0</v>
      </c>
      <c r="BE122" s="358">
        <f t="shared" si="88"/>
        <v>0</v>
      </c>
      <c r="BF122" s="358" t="str">
        <f t="shared" si="89"/>
        <v/>
      </c>
    </row>
    <row r="123" spans="1:58" x14ac:dyDescent="0.25">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989</v>
      </c>
      <c r="AV123" s="68" t="s">
        <v>128</v>
      </c>
      <c r="AW123" s="358">
        <f>VLOOKUP($AU124,AllHabsSummaryData,5,FALSE)</f>
        <v>0</v>
      </c>
      <c r="AX123" s="358">
        <f t="shared" si="90"/>
        <v>0</v>
      </c>
      <c r="AY123" s="358">
        <f t="shared" si="91"/>
        <v>0</v>
      </c>
      <c r="AZ123" s="358">
        <f t="shared" si="92"/>
        <v>0</v>
      </c>
      <c r="BA123" s="358">
        <f t="shared" si="93"/>
        <v>0</v>
      </c>
      <c r="BB123" s="358">
        <f t="shared" si="94"/>
        <v>0</v>
      </c>
      <c r="BC123" s="358">
        <f t="shared" si="95"/>
        <v>0</v>
      </c>
      <c r="BD123" s="358">
        <f t="shared" si="96"/>
        <v>0</v>
      </c>
      <c r="BE123" s="358">
        <f t="shared" si="88"/>
        <v>0</v>
      </c>
      <c r="BF123" s="358" t="str">
        <f t="shared" si="89"/>
        <v/>
      </c>
    </row>
    <row r="124" spans="1:58" x14ac:dyDescent="0.25">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687</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25">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682</v>
      </c>
      <c r="AV125" s="68" t="s">
        <v>129</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x14ac:dyDescent="0.25">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703</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25">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706</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25">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708</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25">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700</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25">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713</v>
      </c>
      <c r="AV130" s="68" t="s">
        <v>129</v>
      </c>
      <c r="AW130" s="358">
        <f t="shared" si="97"/>
        <v>0</v>
      </c>
      <c r="AX130" s="358">
        <f t="shared" si="90"/>
        <v>0</v>
      </c>
      <c r="AY130" s="358">
        <f t="shared" si="91"/>
        <v>4.2799999999999998E-2</v>
      </c>
      <c r="AZ130" s="358">
        <f t="shared" si="92"/>
        <v>8.2603999999999997E-2</v>
      </c>
      <c r="BA130" s="358">
        <f t="shared" si="93"/>
        <v>4.2799999999999998E-2</v>
      </c>
      <c r="BB130" s="358">
        <f t="shared" si="94"/>
        <v>8.2603999999999997E-2</v>
      </c>
      <c r="BC130" s="358">
        <f t="shared" si="95"/>
        <v>0</v>
      </c>
      <c r="BD130" s="358">
        <f t="shared" si="96"/>
        <v>0</v>
      </c>
      <c r="BE130" s="358">
        <f t="shared" si="88"/>
        <v>8.2603999999999997E-2</v>
      </c>
      <c r="BF130" s="358" t="str">
        <f t="shared" si="89"/>
        <v/>
      </c>
    </row>
    <row r="131" spans="1:58" x14ac:dyDescent="0.25">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721</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25">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723</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25">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25">
      <c r="A134" s="79" t="s">
        <v>926</v>
      </c>
      <c r="B134" s="68" t="str">
        <f>'G-1 All Habitats'!F134</f>
        <v>Watercourse footprint</v>
      </c>
      <c r="C134" s="68" t="s">
        <v>486</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735</v>
      </c>
      <c r="AV134" s="68" t="s">
        <v>129</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x14ac:dyDescent="0.25">
      <c r="A135" s="79" t="s">
        <v>744</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726</v>
      </c>
      <c r="AV135" s="68" t="s">
        <v>129</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x14ac:dyDescent="0.25">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732</v>
      </c>
      <c r="AV136" s="68" t="s">
        <v>129</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x14ac:dyDescent="0.25">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738</v>
      </c>
      <c r="AV137" s="68" t="s">
        <v>129</v>
      </c>
      <c r="AW137" s="358">
        <f t="shared" si="97"/>
        <v>9.7999999999999997E-3</v>
      </c>
      <c r="AX137" s="358">
        <f t="shared" si="90"/>
        <v>1.9599999999999999E-2</v>
      </c>
      <c r="AY137" s="358">
        <f t="shared" si="91"/>
        <v>0</v>
      </c>
      <c r="AZ137" s="358">
        <f t="shared" si="92"/>
        <v>0</v>
      </c>
      <c r="BA137" s="358">
        <f t="shared" si="93"/>
        <v>-9.7999999999999997E-3</v>
      </c>
      <c r="BB137" s="358">
        <f t="shared" si="94"/>
        <v>-1.9599999999999999E-2</v>
      </c>
      <c r="BC137" s="358">
        <f t="shared" si="95"/>
        <v>0</v>
      </c>
      <c r="BD137" s="358">
        <f t="shared" si="96"/>
        <v>0</v>
      </c>
      <c r="BE137" s="358">
        <f t="shared" si="88"/>
        <v>-1.9599999999999999E-2</v>
      </c>
      <c r="BF137" s="358">
        <f t="shared" si="89"/>
        <v>-1.9599999999999999E-2</v>
      </c>
    </row>
    <row r="138" spans="1:58" x14ac:dyDescent="0.25">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794</v>
      </c>
      <c r="AV138" s="68" t="s">
        <v>131</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x14ac:dyDescent="0.25">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861</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25">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890</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25">
      <c r="AU141" s="79" t="s">
        <v>893</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25">
      <c r="AU142" s="79" t="s">
        <v>896</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25">
      <c r="AU143" s="79" t="s">
        <v>899</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25">
      <c r="AU144" s="79" t="s">
        <v>902</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7.6" x14ac:dyDescent="0.45">
      <c r="A145" s="262" t="s">
        <v>158</v>
      </c>
      <c r="AU145" s="79" t="s">
        <v>905</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25">
      <c r="AU146" s="79" t="s">
        <v>908</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25">
      <c r="AU147" s="100" t="s">
        <v>917</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2.8" x14ac:dyDescent="0.4">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920</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69" x14ac:dyDescent="0.25">
      <c r="A149" s="78" t="s">
        <v>990</v>
      </c>
      <c r="B149" s="78" t="s">
        <v>220</v>
      </c>
      <c r="C149" s="78" t="s">
        <v>991</v>
      </c>
      <c r="D149" s="78" t="s">
        <v>934</v>
      </c>
      <c r="E149" s="78" t="s">
        <v>992</v>
      </c>
      <c r="F149" s="78" t="s">
        <v>936</v>
      </c>
      <c r="G149" s="78" t="s">
        <v>993</v>
      </c>
      <c r="H149" s="78" t="s">
        <v>994</v>
      </c>
      <c r="I149" s="78" t="s">
        <v>995</v>
      </c>
      <c r="J149" s="78" t="s">
        <v>940</v>
      </c>
      <c r="K149" s="78" t="s">
        <v>996</v>
      </c>
      <c r="L149" s="78" t="s">
        <v>942</v>
      </c>
      <c r="M149" s="78" t="s">
        <v>997</v>
      </c>
      <c r="N149" s="78" t="s">
        <v>944</v>
      </c>
      <c r="O149" s="78" t="s">
        <v>998</v>
      </c>
      <c r="P149" s="78" t="s">
        <v>946</v>
      </c>
      <c r="Q149" s="78" t="s">
        <v>999</v>
      </c>
      <c r="R149" s="78" t="s">
        <v>948</v>
      </c>
      <c r="S149" s="78" t="s">
        <v>1000</v>
      </c>
      <c r="T149" s="78" t="s">
        <v>950</v>
      </c>
      <c r="U149" s="78" t="s">
        <v>1001</v>
      </c>
      <c r="V149" s="78" t="s">
        <v>952</v>
      </c>
      <c r="W149" s="78" t="s">
        <v>1002</v>
      </c>
      <c r="X149" s="78" t="s">
        <v>954</v>
      </c>
      <c r="Y149" s="78" t="s">
        <v>1003</v>
      </c>
      <c r="Z149" s="78" t="s">
        <v>1004</v>
      </c>
      <c r="AA149" s="78" t="s">
        <v>1005</v>
      </c>
      <c r="AB149" s="78" t="s">
        <v>958</v>
      </c>
      <c r="AC149" s="78" t="s">
        <v>1006</v>
      </c>
      <c r="AD149" s="78" t="s">
        <v>960</v>
      </c>
      <c r="AE149" s="78" t="s">
        <v>1007</v>
      </c>
      <c r="AF149" s="78" t="s">
        <v>962</v>
      </c>
      <c r="AU149" s="263" t="s">
        <v>602</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25">
      <c r="A150" s="79" t="str">
        <f>'G-6 Hedgerow Data'!B3</f>
        <v>Species-rich native hedgerow with trees - associated with bank or ditch</v>
      </c>
      <c r="B150" s="68" t="s">
        <v>1008</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439">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0</v>
      </c>
      <c r="P150" s="358">
        <f t="shared" ref="P150:P162" si="108">H150+L150+N150</f>
        <v>0</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689</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25">
      <c r="A151" s="79" t="str">
        <f>'G-6 Hedgerow Data'!B4</f>
        <v>Species-rich native hedgerow with trees</v>
      </c>
      <c r="B151" s="68" t="s">
        <v>1008</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439">
        <f>SUMIF('B-1 On-Site Hedge Baseline'!$D$10:$D$257,'G-2 Habitat groups'!A151,'B-1 On-Site Hedge Baseline'!$U$10:$U$257)</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v>
      </c>
      <c r="P151" s="358">
        <f t="shared" si="108"/>
        <v>0</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664</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25">
      <c r="A152" s="79" t="str">
        <f>'G-6 Hedgerow Data'!B5</f>
        <v>Species-rich native hedgerow - associated with bank or ditch</v>
      </c>
      <c r="B152" s="68" t="s">
        <v>1008</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439">
        <f>SUMIF('B-1 On-Site Hedge Baseline'!$D$10:$D$257,'G-2 Habitat groups'!A152,'B-1 On-Site Hedge Baseline'!$U$10:$U$257)</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x14ac:dyDescent="0.25">
      <c r="A153" s="79" t="str">
        <f>'G-6 Hedgerow Data'!B6</f>
        <v>Native hedgerow with trees - associated with bank or ditch</v>
      </c>
      <c r="B153" s="68" t="s">
        <v>1008</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439">
        <f>SUMIF('B-1 On-Site Hedge Baseline'!$D$10:$D$257,'G-2 Habitat groups'!A153,'B-1 On-Site Hedge Baseline'!$U$10:$U$257)</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5.4" x14ac:dyDescent="0.6">
      <c r="A154" s="263" t="str">
        <f>'G-6 Hedgerow Data'!B7</f>
        <v>Species-rich native hedgerow</v>
      </c>
      <c r="B154" s="264" t="s">
        <v>1008</v>
      </c>
      <c r="C154" s="264" t="str">
        <f>'G-6 Hedgerow Data'!C7</f>
        <v>Medium</v>
      </c>
      <c r="D154" s="264" t="str">
        <f>'G-6 Hedgerow Data'!AH7</f>
        <v>Same distinctiveness band or better</v>
      </c>
      <c r="E154" s="439">
        <f>SUMIF('B-1 On-Site Hedge Baseline'!$D$10:$D$257,'G-2 Habitat groups'!A154,'B-1 On-Site Hedge Baseline'!$E$10:$E$257)</f>
        <v>0</v>
      </c>
      <c r="F154" s="439">
        <f>SUMIF('B-1 On-Site Hedge Baseline'!$D$10:$D$257,'G-2 Habitat groups'!A154,'B-1 On-Site Hedge Baseline'!$N$10:$N$257)</f>
        <v>0</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0</v>
      </c>
      <c r="J154" s="439">
        <f>SUMIF('B-1 On-Site Hedge Baseline'!$D$10:$D$257,'G-2 Habitat groups'!A154,'B-1 On-Site Hedge Baseline'!$U$10:$U$257)</f>
        <v>0</v>
      </c>
      <c r="K154" s="439">
        <f>SUMIF('B-2 On-Site Hedge Creation'!$D$12:$D$259,'G-2 Habitat groups'!A154,'B-2 On-Site Hedge Creation'!$E$12:$E$259)</f>
        <v>0</v>
      </c>
      <c r="L154" s="439">
        <f>SUMIF('B-2 On-Site Hedge Creation'!$D$12:$D$259,'G-2 Habitat groups'!A154,'B-2 On-Site Hedge Creation'!$W$12:$W$259)</f>
        <v>0</v>
      </c>
      <c r="M154" s="439">
        <f>SUMIF('B-3 On-Site Hedge Enhancement'!$M$12:$M$257,'G-2 Habitat groups'!A154,'B-3 On-Site Hedge Enhancement'!$P$12:$P$257)</f>
        <v>0</v>
      </c>
      <c r="N154" s="439">
        <f>SUMIF('B-3 On-Site Hedge Enhancement'!$M$12:$M$257,'G-2 Habitat groups'!A154,'B-3 On-Site Hedge Enhancement'!$AH$12:$AH$257)</f>
        <v>0</v>
      </c>
      <c r="O154" s="439">
        <f t="shared" si="107"/>
        <v>0</v>
      </c>
      <c r="P154" s="439">
        <f t="shared" si="108"/>
        <v>0</v>
      </c>
      <c r="Q154" s="439">
        <f t="shared" si="109"/>
        <v>0</v>
      </c>
      <c r="R154" s="439">
        <f t="shared" si="110"/>
        <v>0</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0</v>
      </c>
      <c r="AF154" s="439">
        <f t="shared" si="114"/>
        <v>0</v>
      </c>
      <c r="AU154" s="283" t="s">
        <v>1009</v>
      </c>
      <c r="AV154" s="76"/>
      <c r="AW154" s="76"/>
      <c r="AX154" s="76"/>
      <c r="AY154" s="76"/>
      <c r="AZ154" s="76"/>
      <c r="BA154" s="76"/>
      <c r="BB154" s="76"/>
      <c r="BC154" s="76"/>
      <c r="BD154" s="76"/>
      <c r="BE154" s="76"/>
      <c r="BF154" s="76"/>
      <c r="BG154" s="92"/>
    </row>
    <row r="155" spans="1:59" ht="31.2" x14ac:dyDescent="0.3">
      <c r="A155" s="263" t="str">
        <f>'G-6 Hedgerow Data'!B8</f>
        <v>Native hedgerow - associated with bank or ditch</v>
      </c>
      <c r="B155" s="264" t="s">
        <v>1008</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SUMIF('B-1 On-Site Hedge Baseline'!$D$10:$D$257,'G-2 Habitat groups'!A155,'B-1 On-Site Hedge Baseline'!$U$10:$U$257)</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968</v>
      </c>
      <c r="AV155" s="229" t="s">
        <v>220</v>
      </c>
      <c r="AW155" s="540" t="s">
        <v>969</v>
      </c>
      <c r="AX155" s="540" t="s">
        <v>970</v>
      </c>
      <c r="AY155" s="540" t="s">
        <v>971</v>
      </c>
      <c r="AZ155" s="540" t="s">
        <v>972</v>
      </c>
      <c r="BA155" s="540" t="s">
        <v>973</v>
      </c>
      <c r="BB155" s="540" t="s">
        <v>974</v>
      </c>
      <c r="BC155" s="540" t="s">
        <v>975</v>
      </c>
      <c r="BD155" s="98" t="s">
        <v>976</v>
      </c>
      <c r="BE155" s="540" t="s">
        <v>977</v>
      </c>
      <c r="BF155" s="98" t="s">
        <v>988</v>
      </c>
    </row>
    <row r="156" spans="1:59" x14ac:dyDescent="0.25">
      <c r="A156" s="79" t="str">
        <f>'G-6 Hedgerow Data'!B9</f>
        <v>Native hedgerow with trees</v>
      </c>
      <c r="B156" s="68" t="s">
        <v>1008</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439">
        <f>SUMIF('B-1 On-Site Hedge Baseline'!$D$10:$D$257,'G-2 Habitat groups'!A156,'B-1 On-Site Hedge Baseline'!$U$10:$U$257)</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684</v>
      </c>
      <c r="AV156" s="68" t="s">
        <v>129</v>
      </c>
      <c r="AW156" s="358">
        <f>VLOOKUP($AU156,AllHabsSummaryData,5,FALSE)</f>
        <v>0</v>
      </c>
      <c r="AX156" s="358">
        <f>VLOOKUP($AU156,AllHabsSummaryData,10,FALSE)</f>
        <v>0</v>
      </c>
      <c r="AY156" s="358">
        <f>VLOOKUP($AU156,AllHabsSummaryData,15,FALSE)</f>
        <v>0</v>
      </c>
      <c r="AZ156" s="358">
        <f>VLOOKUP($AU156,AllHabsSummaryData,16,FALSE)</f>
        <v>0</v>
      </c>
      <c r="BA156" s="358">
        <f>VLOOKUP($AU156,AllHabsSummaryData,17,FALSE)</f>
        <v>0</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25">
      <c r="A157" s="79" t="str">
        <f>'G-6 Hedgerow Data'!B10</f>
        <v>Ecologically valuable line of trees</v>
      </c>
      <c r="B157" s="68" t="s">
        <v>1008</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439">
        <f>SUMIF('B-1 On-Site Hedge Baseline'!$D$10:$D$257,'G-2 Habitat groups'!A157,'B-1 On-Site Hedge Baseline'!$U$10:$U$257)</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v>
      </c>
      <c r="P157" s="358">
        <f t="shared" si="108"/>
        <v>0</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692</v>
      </c>
      <c r="AV157" s="68" t="s">
        <v>129</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25">
      <c r="A158" s="79" t="str">
        <f>'G-6 Hedgerow Data'!B11</f>
        <v>Ecologically valuable line of trees - associated with bank or ditch</v>
      </c>
      <c r="B158" s="68" t="s">
        <v>1008</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439">
        <f>SUMIF('B-1 On-Site Hedge Baseline'!$D$10:$D$257,'G-2 Habitat groups'!A158,'B-1 On-Site Hedge Baseline'!$U$10:$U$257)</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697</v>
      </c>
      <c r="AV158" s="68" t="s">
        <v>129</v>
      </c>
      <c r="AW158" s="358">
        <f>VLOOKUP($AU158,AllHabsSummaryData,5,FALSE)</f>
        <v>3.8800000000000001E-2</v>
      </c>
      <c r="AX158" s="358">
        <f>VLOOKUP($AU158,AllHabsSummaryData,10,FALSE)</f>
        <v>0</v>
      </c>
      <c r="AY158" s="358">
        <f>VLOOKUP($AU158,AllHabsSummaryData,15,FALSE)</f>
        <v>8.7799999999999989E-2</v>
      </c>
      <c r="AZ158" s="358">
        <f>VLOOKUP($AU158,AllHabsSummaryData,16,FALSE)</f>
        <v>0</v>
      </c>
      <c r="BA158" s="358">
        <f>VLOOKUP($AU158,AllHabsSummaryData,17,FALSE)</f>
        <v>4.8999999999999988E-2</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25">
      <c r="A159" s="79" t="str">
        <f>'G-6 Hedgerow Data'!B12</f>
        <v>Native hedgerow</v>
      </c>
      <c r="B159" s="68" t="s">
        <v>1008</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439">
        <f>SUMIF('B-1 On-Site Hedge Baseline'!$D$10:$D$257,'G-2 Habitat groups'!A159,'B-1 On-Site Hedge Baseline'!$U$10:$U$257)</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v>
      </c>
      <c r="P159" s="358">
        <f t="shared" si="108"/>
        <v>0</v>
      </c>
      <c r="Q159" s="358">
        <f t="shared" si="109"/>
        <v>0</v>
      </c>
      <c r="R159" s="358">
        <f t="shared" si="110"/>
        <v>0</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v>
      </c>
      <c r="AF159" s="358">
        <f t="shared" si="114"/>
        <v>0</v>
      </c>
      <c r="AU159" s="79" t="s">
        <v>729</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25">
      <c r="A160" s="79" t="str">
        <f>'G-6 Hedgerow Data'!B13</f>
        <v>Line of trees</v>
      </c>
      <c r="B160" s="68" t="s">
        <v>1008</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439">
        <f>SUMIF('B-1 On-Site Hedge Baseline'!$D$10:$D$257,'G-2 Habitat groups'!A160,'B-1 On-Site Hedge Baseline'!$U$10:$U$257)</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v>
      </c>
      <c r="P160" s="358">
        <f t="shared" si="108"/>
        <v>0</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x14ac:dyDescent="0.25">
      <c r="A161" s="79" t="str">
        <f>'G-6 Hedgerow Data'!B14</f>
        <v>Line of trees - associated with bank or ditch</v>
      </c>
      <c r="B161" s="68" t="s">
        <v>1008</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439">
        <f>SUMIF('B-1 On-Site Hedge Baseline'!$D$10:$D$257,'G-2 Habitat groups'!A161,'B-1 On-Site Hedge Baseline'!$U$10:$U$257)</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x14ac:dyDescent="0.25">
      <c r="A162" s="79" t="str">
        <f>'G-6 Hedgerow Data'!B15</f>
        <v>Non-native and ornamental hedgerow</v>
      </c>
      <c r="B162" s="68" t="s">
        <v>1008</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439">
        <f>SUMIF('B-1 On-Site Hedge Baseline'!$D$10:$D$257,'G-2 Habitat groups'!A162,'B-1 On-Site Hedge Baseline'!$U$10:$U$257)</f>
        <v>0</v>
      </c>
      <c r="K162" s="358">
        <f>SUMIF('B-2 On-Site Hedge Creation'!$D$12:$D$259,'G-2 Habitat groups'!A162,'B-2 On-Site Hedge Creation'!$E$12:$E$259)</f>
        <v>0</v>
      </c>
      <c r="L162" s="358">
        <f>SUMIF('B-2 On-Site Hedge Creation'!$D$12:$D$259,'G-2 Habitat groups'!A162,'B-2 On-Site Hedge Creation'!$W$12:$W$259)</f>
        <v>0</v>
      </c>
      <c r="M162" s="358">
        <f>SUMIF('B-3 On-Site Hedge Enhancement'!$M$12:$M$257,'G-2 Habitat groups'!A162,'B-3 On-Site Hedge Enhancement'!$P$12:$P$257)</f>
        <v>0</v>
      </c>
      <c r="N162" s="358">
        <f>SUMIF('B-3 On-Site Hedge Enhancement'!$M$12:$M$257,'G-2 Habitat groups'!A162,'B-3 On-Site Hedge Enhancement'!$AH$12:$AH$257)</f>
        <v>0</v>
      </c>
      <c r="O162" s="358">
        <f t="shared" si="107"/>
        <v>0</v>
      </c>
      <c r="P162" s="358">
        <f t="shared" si="108"/>
        <v>0</v>
      </c>
      <c r="Q162" s="358">
        <f t="shared" si="109"/>
        <v>0</v>
      </c>
      <c r="R162" s="358">
        <f t="shared"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v>
      </c>
      <c r="AF162" s="358">
        <f t="shared" si="114"/>
        <v>0</v>
      </c>
    </row>
    <row r="167" spans="1:32" ht="27.6" x14ac:dyDescent="0.45">
      <c r="A167" s="262" t="s">
        <v>59</v>
      </c>
    </row>
    <row r="170" spans="1:32" ht="22.8" x14ac:dyDescent="0.4">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69" x14ac:dyDescent="0.25">
      <c r="A171" s="78" t="s">
        <v>1010</v>
      </c>
      <c r="B171" s="78" t="s">
        <v>220</v>
      </c>
      <c r="C171" s="78" t="s">
        <v>991</v>
      </c>
      <c r="D171" s="78" t="s">
        <v>934</v>
      </c>
      <c r="E171" s="78" t="s">
        <v>992</v>
      </c>
      <c r="F171" s="78" t="s">
        <v>936</v>
      </c>
      <c r="G171" s="78" t="s">
        <v>993</v>
      </c>
      <c r="H171" s="78" t="s">
        <v>994</v>
      </c>
      <c r="I171" s="78" t="s">
        <v>1011</v>
      </c>
      <c r="J171" s="78" t="s">
        <v>1012</v>
      </c>
      <c r="K171" s="78" t="s">
        <v>996</v>
      </c>
      <c r="L171" s="78" t="s">
        <v>942</v>
      </c>
      <c r="M171" s="78" t="s">
        <v>997</v>
      </c>
      <c r="N171" s="78" t="s">
        <v>944</v>
      </c>
      <c r="O171" s="78" t="s">
        <v>998</v>
      </c>
      <c r="P171" s="78" t="s">
        <v>946</v>
      </c>
      <c r="Q171" s="78" t="s">
        <v>999</v>
      </c>
      <c r="R171" s="78" t="s">
        <v>948</v>
      </c>
      <c r="S171" s="78" t="s">
        <v>1000</v>
      </c>
      <c r="T171" s="78" t="s">
        <v>950</v>
      </c>
      <c r="U171" s="78" t="s">
        <v>1001</v>
      </c>
      <c r="V171" s="78" t="s">
        <v>952</v>
      </c>
      <c r="W171" s="78" t="s">
        <v>1002</v>
      </c>
      <c r="X171" s="78" t="s">
        <v>954</v>
      </c>
      <c r="Y171" s="78" t="s">
        <v>1003</v>
      </c>
      <c r="Z171" s="78" t="s">
        <v>1004</v>
      </c>
      <c r="AA171" s="78" t="s">
        <v>1005</v>
      </c>
      <c r="AB171" s="78" t="s">
        <v>958</v>
      </c>
      <c r="AC171" s="78" t="s">
        <v>1006</v>
      </c>
      <c r="AD171" s="78" t="s">
        <v>960</v>
      </c>
      <c r="AE171" s="78" t="s">
        <v>1007</v>
      </c>
      <c r="AF171" s="78" t="s">
        <v>962</v>
      </c>
    </row>
    <row r="172" spans="1:32" x14ac:dyDescent="0.25">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25">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x14ac:dyDescent="0.25">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x14ac:dyDescent="0.25">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25">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dHrQz6fCp793VNrSHihwBu0OUErnK2z2svwxPIvYf8sgFn5KnpOLHvcYEHIL2hgByzTAdjeI7S8KsdabzMgC+Q==" saltValue="GWpH7PfQ1ZiQUh4HywfnWg=="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3.8" zeroHeight="1" x14ac:dyDescent="0.25"/>
  <cols>
    <col min="1" max="1" width="76.44140625" style="30" customWidth="1"/>
    <col min="2" max="2" width="28.77734375" style="30" bestFit="1" customWidth="1"/>
    <col min="3" max="3" width="18.5546875" style="30" bestFit="1" customWidth="1"/>
    <col min="4" max="4" width="30.5546875" style="30" bestFit="1" customWidth="1"/>
    <col min="5" max="5" width="18.5546875" style="30" bestFit="1" customWidth="1"/>
    <col min="6" max="7" width="9.21875" style="30" customWidth="1"/>
    <col min="8" max="8" width="16.21875" style="30" hidden="1" customWidth="1"/>
    <col min="9" max="9" width="32.77734375" style="30" hidden="1" customWidth="1"/>
    <col min="10" max="10" width="8.21875" style="30" hidden="1" customWidth="1"/>
    <col min="11" max="11" width="9.21875" style="30" customWidth="1"/>
    <col min="12" max="12" width="38.5546875" style="30" customWidth="1"/>
    <col min="13" max="13" width="26.21875" style="30" customWidth="1"/>
    <col min="14" max="14" width="12" style="30" bestFit="1" customWidth="1"/>
    <col min="15" max="15" width="9.21875" style="30" customWidth="1"/>
    <col min="16" max="16" width="11.77734375" style="30" bestFit="1" customWidth="1"/>
    <col min="17" max="17" width="9.21875" style="30" customWidth="1"/>
    <col min="18" max="18" width="18.77734375" style="30" customWidth="1"/>
    <col min="19" max="19" width="40" style="30" customWidth="1"/>
    <col min="20" max="20" width="19.44140625" style="30" customWidth="1"/>
    <col min="21" max="21" width="9.21875" style="30" customWidth="1"/>
    <col min="22" max="22" width="11.21875" style="30" customWidth="1"/>
    <col min="23" max="23" width="12" style="30" bestFit="1" customWidth="1"/>
    <col min="24" max="24" width="14.21875" style="30" bestFit="1" customWidth="1"/>
    <col min="25" max="25" width="17.77734375" style="30" bestFit="1" customWidth="1"/>
    <col min="26" max="26" width="10.21875" style="30" bestFit="1" customWidth="1"/>
    <col min="27" max="28" width="9.21875" style="30" customWidth="1"/>
    <col min="29" max="34" width="0" style="30" hidden="1" customWidth="1"/>
    <col min="35" max="16384" width="9.21875" style="30" hidden="1"/>
  </cols>
  <sheetData>
    <row r="1" spans="1:26" ht="36.6" customHeight="1" thickBot="1" x14ac:dyDescent="0.5">
      <c r="A1" s="1641" t="s">
        <v>1013</v>
      </c>
      <c r="B1" s="1642"/>
      <c r="C1" s="1642"/>
      <c r="D1" s="1642"/>
      <c r="E1" s="1643"/>
      <c r="J1" s="232"/>
      <c r="L1" s="1641" t="s">
        <v>1014</v>
      </c>
      <c r="M1" s="1642"/>
      <c r="N1" s="1643"/>
      <c r="P1" s="1641" t="s">
        <v>379</v>
      </c>
      <c r="Q1" s="1643"/>
    </row>
    <row r="2" spans="1:26" ht="42" customHeight="1" thickBot="1" x14ac:dyDescent="0.5">
      <c r="A2" s="233" t="s">
        <v>933</v>
      </c>
      <c r="B2" s="164" t="s">
        <v>451</v>
      </c>
      <c r="C2" s="164" t="s">
        <v>410</v>
      </c>
      <c r="D2" s="164" t="s">
        <v>452</v>
      </c>
      <c r="E2" s="233" t="s">
        <v>410</v>
      </c>
      <c r="H2" s="1647" t="s">
        <v>1015</v>
      </c>
      <c r="I2" s="1648"/>
      <c r="J2" s="1649"/>
      <c r="L2" s="1644" t="s">
        <v>1016</v>
      </c>
      <c r="M2" s="1645"/>
      <c r="N2" s="1646"/>
      <c r="P2" s="233" t="s">
        <v>121</v>
      </c>
      <c r="Q2" s="233" t="s">
        <v>1017</v>
      </c>
      <c r="S2" s="1325" t="s">
        <v>1018</v>
      </c>
      <c r="T2" s="1327"/>
      <c r="W2" s="1641" t="s">
        <v>1019</v>
      </c>
      <c r="X2" s="1642"/>
      <c r="Y2" s="1642"/>
      <c r="Z2" s="1643"/>
    </row>
    <row r="3" spans="1:26" x14ac:dyDescent="0.25">
      <c r="A3" s="85" t="str">
        <f>'G-1 All Habitats'!B103</f>
        <v>Coastal lagoons - Coastal lagoons</v>
      </c>
      <c r="B3" s="404" t="str">
        <f>'G-1 All Habitats'!N103</f>
        <v>Medium</v>
      </c>
      <c r="C3" s="404">
        <f>'G-1 All Habitats'!O103</f>
        <v>0.67</v>
      </c>
      <c r="D3" s="404" t="str">
        <f>'G-1 All Habitats'!P103</f>
        <v>Medium</v>
      </c>
      <c r="E3" s="404">
        <f>'G-1 All Habitats'!Q103</f>
        <v>0.67</v>
      </c>
      <c r="H3" s="78" t="s">
        <v>286</v>
      </c>
      <c r="I3" s="226" t="s">
        <v>1020</v>
      </c>
      <c r="J3" s="226" t="s">
        <v>1021</v>
      </c>
      <c r="L3" s="226" t="s">
        <v>1020</v>
      </c>
      <c r="M3" s="78" t="s">
        <v>271</v>
      </c>
      <c r="N3" s="226" t="s">
        <v>410</v>
      </c>
      <c r="P3" s="100" t="s">
        <v>216</v>
      </c>
      <c r="Q3" s="404">
        <v>1</v>
      </c>
      <c r="S3" s="226" t="s">
        <v>121</v>
      </c>
      <c r="T3" s="226" t="s">
        <v>410</v>
      </c>
      <c r="W3" s="233" t="s">
        <v>63</v>
      </c>
      <c r="X3" s="233" t="s">
        <v>1022</v>
      </c>
      <c r="Y3" s="233" t="s">
        <v>1023</v>
      </c>
      <c r="Z3" s="233" t="s">
        <v>1024</v>
      </c>
    </row>
    <row r="4" spans="1:26" ht="27.6" x14ac:dyDescent="0.2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1025</v>
      </c>
      <c r="J4" s="155">
        <v>1.1499999999999999</v>
      </c>
      <c r="L4" s="100" t="s">
        <v>1026</v>
      </c>
      <c r="M4" s="382" t="s">
        <v>1027</v>
      </c>
      <c r="N4" s="404">
        <v>1.1499999999999999</v>
      </c>
      <c r="P4" s="100" t="s">
        <v>70</v>
      </c>
      <c r="Q4" s="404">
        <v>0.67</v>
      </c>
      <c r="S4" s="100" t="s">
        <v>1028</v>
      </c>
      <c r="T4" s="382">
        <v>1</v>
      </c>
      <c r="W4" s="79" t="s">
        <v>69</v>
      </c>
      <c r="X4" s="404">
        <v>0.3</v>
      </c>
      <c r="Y4" s="404">
        <f>X4*12</f>
        <v>3.5999999999999996</v>
      </c>
      <c r="Z4" s="495">
        <f>3.14159265358979*(Y4*Y4)/10000</f>
        <v>4.0715040790523672E-3</v>
      </c>
    </row>
    <row r="5" spans="1:26" ht="41.4" x14ac:dyDescent="0.25">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1029</v>
      </c>
      <c r="J5" s="155">
        <v>1.1000000000000001</v>
      </c>
      <c r="L5" s="100" t="s">
        <v>1030</v>
      </c>
      <c r="M5" s="382" t="s">
        <v>1031</v>
      </c>
      <c r="N5" s="404">
        <v>1.1000000000000001</v>
      </c>
      <c r="P5" s="100" t="s">
        <v>213</v>
      </c>
      <c r="Q5" s="404">
        <v>0.33</v>
      </c>
      <c r="S5" s="100" t="s">
        <v>1032</v>
      </c>
      <c r="T5" s="382">
        <v>0.75</v>
      </c>
      <c r="W5" s="79" t="s">
        <v>70</v>
      </c>
      <c r="X5" s="404">
        <v>0.9</v>
      </c>
      <c r="Y5" s="404">
        <f>X5*12</f>
        <v>10.8</v>
      </c>
      <c r="Z5" s="495">
        <f>3.14159265358979*(Y5*Y5)/10000</f>
        <v>3.664353671147131E-2</v>
      </c>
    </row>
    <row r="6" spans="1:26" ht="27.6" x14ac:dyDescent="0.25">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1033</v>
      </c>
      <c r="J6" s="155">
        <v>1</v>
      </c>
      <c r="L6" s="100" t="s">
        <v>1034</v>
      </c>
      <c r="M6" s="382" t="s">
        <v>1035</v>
      </c>
      <c r="N6" s="404">
        <v>1</v>
      </c>
      <c r="P6" s="100" t="s">
        <v>211</v>
      </c>
      <c r="Q6" s="404">
        <v>0.1</v>
      </c>
      <c r="S6" s="265" t="s">
        <v>1036</v>
      </c>
      <c r="T6" s="382">
        <v>0.5</v>
      </c>
      <c r="W6" s="79" t="s">
        <v>71</v>
      </c>
      <c r="X6" s="404">
        <v>1.3</v>
      </c>
      <c r="Y6" s="404">
        <f>X6*12</f>
        <v>15.600000000000001</v>
      </c>
      <c r="Z6" s="495">
        <f>3.14159265358979*(Y6*Y6)/10000</f>
        <v>7.645379881776114E-2</v>
      </c>
    </row>
    <row r="7" spans="1:26" ht="49.95" customHeight="1" x14ac:dyDescent="0.25">
      <c r="A7" s="85" t="str">
        <f>'G-1 All Habitats'!B5</f>
        <v>Cropland - Arable field margins pollen and nectar</v>
      </c>
      <c r="B7" s="404" t="str">
        <f>'G-1 All Habitats'!N5</f>
        <v>Low</v>
      </c>
      <c r="C7" s="404">
        <f>'G-1 All Habitats'!O5</f>
        <v>1</v>
      </c>
      <c r="D7" s="404" t="str">
        <f>'G-1 All Habitats'!P5</f>
        <v>Low</v>
      </c>
      <c r="E7" s="404">
        <f>'G-1 All Habitats'!Q5</f>
        <v>1</v>
      </c>
      <c r="H7" s="234" t="s">
        <v>1037</v>
      </c>
      <c r="I7" s="116" t="s">
        <v>1038</v>
      </c>
      <c r="J7" s="155">
        <v>1</v>
      </c>
      <c r="S7" s="265" t="s">
        <v>1039</v>
      </c>
      <c r="T7" s="404">
        <v>1</v>
      </c>
    </row>
    <row r="8" spans="1:26" ht="49.95" customHeight="1" x14ac:dyDescent="0.25">
      <c r="A8" s="85" t="str">
        <f>'G-1 All Habitats'!B6</f>
        <v>Cropland - Arable field margins tussocky</v>
      </c>
      <c r="B8" s="404" t="str">
        <f>'G-1 All Habitats'!N6</f>
        <v>Low</v>
      </c>
      <c r="C8" s="404">
        <f>'G-1 All Habitats'!O6</f>
        <v>1</v>
      </c>
      <c r="D8" s="404" t="str">
        <f>'G-1 All Habitats'!P6</f>
        <v>Low</v>
      </c>
      <c r="E8" s="404">
        <f>'G-1 All Habitats'!Q6</f>
        <v>1</v>
      </c>
      <c r="S8" s="265" t="s">
        <v>1040</v>
      </c>
      <c r="T8" s="382">
        <v>1</v>
      </c>
    </row>
    <row r="9" spans="1:26" ht="49.95" customHeight="1" x14ac:dyDescent="0.25">
      <c r="A9" s="85" t="str">
        <f>'G-1 All Habitats'!B7</f>
        <v>Cropland - Cereal crops</v>
      </c>
      <c r="B9" s="404" t="str">
        <f>'G-1 All Habitats'!N7</f>
        <v>Low</v>
      </c>
      <c r="C9" s="404">
        <f>'G-1 All Habitats'!O7</f>
        <v>1</v>
      </c>
      <c r="D9" s="404" t="str">
        <f>'G-1 All Habitats'!P7</f>
        <v>Low</v>
      </c>
      <c r="E9" s="404">
        <f>'G-1 All Habitats'!Q7</f>
        <v>1</v>
      </c>
      <c r="S9" s="265" t="s">
        <v>1041</v>
      </c>
      <c r="T9" s="382">
        <v>0.75</v>
      </c>
    </row>
    <row r="10" spans="1:26" ht="55.2" x14ac:dyDescent="0.25">
      <c r="A10" s="85" t="str">
        <f>'G-1 All Habitats'!B8</f>
        <v>Cropland - Winter stubble</v>
      </c>
      <c r="B10" s="404" t="str">
        <f>'G-1 All Habitats'!N8</f>
        <v>Low</v>
      </c>
      <c r="C10" s="404">
        <f>'G-1 All Habitats'!O8</f>
        <v>1</v>
      </c>
      <c r="D10" s="404" t="str">
        <f>'G-1 All Habitats'!P8</f>
        <v>Low</v>
      </c>
      <c r="E10" s="404">
        <f>'G-1 All Habitats'!Q8</f>
        <v>1</v>
      </c>
      <c r="S10" s="265" t="s">
        <v>1042</v>
      </c>
      <c r="T10" s="382">
        <v>0.5</v>
      </c>
    </row>
    <row r="11" spans="1:26" x14ac:dyDescent="0.25">
      <c r="A11" s="85" t="str">
        <f>'G-1 All Habitats'!B9</f>
        <v>Cropland - Horticulture</v>
      </c>
      <c r="B11" s="404" t="str">
        <f>'G-1 All Habitats'!N9</f>
        <v>Low</v>
      </c>
      <c r="C11" s="404">
        <f>'G-1 All Habitats'!O9</f>
        <v>1</v>
      </c>
      <c r="D11" s="404" t="str">
        <f>'G-1 All Habitats'!P9</f>
        <v>Low</v>
      </c>
      <c r="E11" s="404">
        <f>'G-1 All Habitats'!Q9</f>
        <v>1</v>
      </c>
    </row>
    <row r="12" spans="1:26" x14ac:dyDescent="0.25">
      <c r="A12" s="85" t="str">
        <f>'G-1 All Habitats'!B10</f>
        <v>Cropland - Intensive orchards</v>
      </c>
      <c r="B12" s="404" t="str">
        <f>'G-1 All Habitats'!N10</f>
        <v>Low</v>
      </c>
      <c r="C12" s="404">
        <f>'G-1 All Habitats'!O10</f>
        <v>1</v>
      </c>
      <c r="D12" s="404" t="str">
        <f>'G-1 All Habitats'!P10</f>
        <v>Low</v>
      </c>
      <c r="E12" s="404">
        <f>'G-1 All Habitats'!Q10</f>
        <v>1</v>
      </c>
    </row>
    <row r="13" spans="1:26" x14ac:dyDescent="0.25">
      <c r="A13" s="85" t="str">
        <f>'G-1 All Habitats'!B11</f>
        <v>Cropland - Non-cereal crops</v>
      </c>
      <c r="B13" s="404" t="str">
        <f>'G-1 All Habitats'!N11</f>
        <v>Low</v>
      </c>
      <c r="C13" s="404">
        <f>'G-1 All Habitats'!O11</f>
        <v>1</v>
      </c>
      <c r="D13" s="404" t="str">
        <f>'G-1 All Habitats'!P11</f>
        <v>Low</v>
      </c>
      <c r="E13" s="404">
        <f>'G-1 All Habitats'!Q11</f>
        <v>1</v>
      </c>
    </row>
    <row r="14" spans="1:26" x14ac:dyDescent="0.25">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25">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25">
      <c r="A16" s="85" t="str">
        <f>'G-1 All Habitats'!B14</f>
        <v>Grassland - Bracken</v>
      </c>
      <c r="B16" s="404" t="str">
        <f>'G-1 All Habitats'!N14</f>
        <v>Low</v>
      </c>
      <c r="C16" s="404">
        <f>'G-1 All Habitats'!O14</f>
        <v>1</v>
      </c>
      <c r="D16" s="404" t="str">
        <f>'G-1 All Habitats'!P14</f>
        <v>Low</v>
      </c>
      <c r="E16" s="404">
        <f>'G-1 All Habitats'!Q14</f>
        <v>1</v>
      </c>
    </row>
    <row r="17" spans="1:5" x14ac:dyDescent="0.2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25">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25">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25">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25">
      <c r="A21" s="85" t="str">
        <f>'G-1 All Habitats'!B19</f>
        <v>Grassland - Modified grassland</v>
      </c>
      <c r="B21" s="404" t="str">
        <f>'G-1 All Habitats'!N19</f>
        <v>Low</v>
      </c>
      <c r="C21" s="404">
        <f>'G-1 All Habitats'!O19</f>
        <v>1</v>
      </c>
      <c r="D21" s="404" t="str">
        <f>'G-1 All Habitats'!P19</f>
        <v>Low</v>
      </c>
      <c r="E21" s="404">
        <f>'G-1 All Habitats'!Q19</f>
        <v>1</v>
      </c>
    </row>
    <row r="22" spans="1:5" x14ac:dyDescent="0.25">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25">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25">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25">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25">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25">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25">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25">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25">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25">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25">
      <c r="A32" s="85" t="str">
        <f>'G-1 All Habitats'!B30</f>
        <v>Heathland and shrub - Hazel scrub</v>
      </c>
      <c r="B32" s="404" t="s">
        <v>70</v>
      </c>
      <c r="C32" s="404">
        <f>'G-1 All Habitats'!O30</f>
        <v>0.67</v>
      </c>
      <c r="D32" s="404" t="s">
        <v>216</v>
      </c>
      <c r="E32" s="404">
        <f>'G-1 All Habitats'!Q30</f>
        <v>1</v>
      </c>
    </row>
    <row r="33" spans="1:5" x14ac:dyDescent="0.25">
      <c r="A33" s="85" t="s">
        <v>606</v>
      </c>
      <c r="B33" s="404" t="s">
        <v>70</v>
      </c>
      <c r="C33" s="404">
        <v>0.67</v>
      </c>
      <c r="D33" s="404" t="s">
        <v>216</v>
      </c>
      <c r="E33" s="404">
        <v>1</v>
      </c>
    </row>
    <row r="34" spans="1:5" x14ac:dyDescent="0.2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25">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2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25">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2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2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2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2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2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2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2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2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2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2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2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2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2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2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2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2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25">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25">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25">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25">
      <c r="A57" s="85" t="str">
        <f>'G-1 All Habitats'!B43</f>
        <v>Lakes - Marl lakes</v>
      </c>
      <c r="B57" s="404" t="str">
        <f>'G-1 All Habitats'!N43</f>
        <v>High</v>
      </c>
      <c r="C57" s="404">
        <f>'G-1 All Habitats'!O43</f>
        <v>0.33</v>
      </c>
      <c r="D57" s="404" t="str">
        <f>'G-1 All Habitats'!P43</f>
        <v>High</v>
      </c>
      <c r="E57" s="404">
        <f>'G-1 All Habitats'!Q43</f>
        <v>0.33</v>
      </c>
    </row>
    <row r="58" spans="1:5" x14ac:dyDescent="0.25">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25">
      <c r="A59" s="85" t="str">
        <f>'G-1 All Habitats'!B45</f>
        <v>Lakes - Peat lakes</v>
      </c>
      <c r="B59" s="404" t="str">
        <f>'G-1 All Habitats'!N45</f>
        <v>High</v>
      </c>
      <c r="C59" s="404">
        <f>'G-1 All Habitats'!O45</f>
        <v>0.33</v>
      </c>
      <c r="D59" s="404" t="str">
        <f>'G-1 All Habitats'!P45</f>
        <v>High</v>
      </c>
      <c r="E59" s="404">
        <f>'G-1 All Habitats'!Q45</f>
        <v>0.33</v>
      </c>
    </row>
    <row r="60" spans="1:5" x14ac:dyDescent="0.25">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25">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25">
      <c r="A62" s="85" t="str">
        <f>'G-1 All Habitats'!B48</f>
        <v>Lakes - Reservoirs</v>
      </c>
      <c r="B62" s="404" t="str">
        <f>'G-1 All Habitats'!N48</f>
        <v>Medium</v>
      </c>
      <c r="C62" s="404">
        <f>'G-1 All Habitats'!O48</f>
        <v>0.67</v>
      </c>
      <c r="D62" s="404" t="str">
        <f>'G-1 All Habitats'!P48</f>
        <v>Medium</v>
      </c>
      <c r="E62" s="404">
        <f>'G-1 All Habitats'!Q48</f>
        <v>0.67</v>
      </c>
    </row>
    <row r="63" spans="1:5" x14ac:dyDescent="0.2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2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2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2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2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2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2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2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2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2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2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2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2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2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2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2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2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25">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25">
      <c r="A81" s="85" t="str">
        <f>'G-1 All Habitats'!B77</f>
        <v>Urban - Vacant or derelict land</v>
      </c>
      <c r="B81" s="404" t="str">
        <f>'G-1 All Habitats'!N77</f>
        <v>Low</v>
      </c>
      <c r="C81" s="404">
        <f>'G-1 All Habitats'!O77</f>
        <v>1</v>
      </c>
      <c r="D81" s="404" t="str">
        <f>'G-1 All Habitats'!P77</f>
        <v>Low</v>
      </c>
      <c r="E81" s="404">
        <f>'G-1 All Habitats'!Q77</f>
        <v>1</v>
      </c>
    </row>
    <row r="82" spans="1:5" x14ac:dyDescent="0.25">
      <c r="A82" s="85" t="s">
        <v>735</v>
      </c>
      <c r="B82" s="404" t="s">
        <v>216</v>
      </c>
      <c r="C82" s="404">
        <v>1</v>
      </c>
      <c r="D82" s="404" t="s">
        <v>216</v>
      </c>
      <c r="E82" s="404">
        <v>1</v>
      </c>
    </row>
    <row r="83" spans="1:5" x14ac:dyDescent="0.25">
      <c r="A83" s="85" t="str">
        <f>'G-1 All Habitats'!B59</f>
        <v>Urban - Allotments</v>
      </c>
      <c r="B83" s="404" t="str">
        <f>'G-1 All Habitats'!N59</f>
        <v>Low</v>
      </c>
      <c r="C83" s="404">
        <f>'G-1 All Habitats'!O59</f>
        <v>1</v>
      </c>
      <c r="D83" s="404" t="str">
        <f>'G-1 All Habitats'!P59</f>
        <v>Low</v>
      </c>
      <c r="E83" s="404">
        <f>'G-1 All Habitats'!Q59</f>
        <v>1</v>
      </c>
    </row>
    <row r="84" spans="1:5" x14ac:dyDescent="0.2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25">
      <c r="A85" s="85" t="str">
        <f>'G-1 All Habitats'!B61</f>
        <v>Urban - Bioswale</v>
      </c>
      <c r="B85" s="404" t="str">
        <f>'G-1 All Habitats'!N61</f>
        <v>Medium</v>
      </c>
      <c r="C85" s="404">
        <f>'G-1 All Habitats'!O61</f>
        <v>0.67</v>
      </c>
      <c r="D85" s="404" t="str">
        <f>'G-1 All Habitats'!P61</f>
        <v>Low</v>
      </c>
      <c r="E85" s="404">
        <f>'G-1 All Habitats'!Q61</f>
        <v>1</v>
      </c>
    </row>
    <row r="86" spans="1:5" x14ac:dyDescent="0.25">
      <c r="A86" s="85" t="str">
        <f>'G-1 All Habitats'!B62</f>
        <v>Urban - Intensive green roof</v>
      </c>
      <c r="B86" s="404" t="str">
        <f>'G-1 All Habitats'!N62</f>
        <v>Low</v>
      </c>
      <c r="C86" s="404">
        <f>'G-1 All Habitats'!O62</f>
        <v>1</v>
      </c>
      <c r="D86" s="404" t="str">
        <f>'G-1 All Habitats'!P62</f>
        <v>Low</v>
      </c>
      <c r="E86" s="404">
        <f>'G-1 All Habitats'!Q62</f>
        <v>1</v>
      </c>
    </row>
    <row r="87" spans="1:5" x14ac:dyDescent="0.25">
      <c r="A87" s="85" t="str">
        <f>'G-1 All Habitats'!B63</f>
        <v>Urban - Built linear features</v>
      </c>
      <c r="B87" s="404" t="str">
        <f>'G-1 All Habitats'!N63</f>
        <v>Low</v>
      </c>
      <c r="C87" s="404">
        <f>'G-1 All Habitats'!O63</f>
        <v>1</v>
      </c>
      <c r="D87" s="404" t="str">
        <f>'G-1 All Habitats'!P63</f>
        <v>Low</v>
      </c>
      <c r="E87" s="404">
        <f>'G-1 All Habitats'!Q63</f>
        <v>1</v>
      </c>
    </row>
    <row r="88" spans="1:5" x14ac:dyDescent="0.25">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25">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25">
      <c r="A90" s="85" t="str">
        <f>'G-1 All Habitats'!B66</f>
        <v>Urban - Other green roof</v>
      </c>
      <c r="B90" s="404" t="str">
        <f>'G-1 All Habitats'!N66</f>
        <v>Low</v>
      </c>
      <c r="C90" s="404">
        <f>'G-1 All Habitats'!O66</f>
        <v>1</v>
      </c>
      <c r="D90" s="404" t="str">
        <f>'G-1 All Habitats'!P66</f>
        <v>Low</v>
      </c>
      <c r="E90" s="404">
        <f>'G-1 All Habitats'!Q66</f>
        <v>1</v>
      </c>
    </row>
    <row r="91" spans="1:5" x14ac:dyDescent="0.25">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25">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25">
      <c r="A93" s="85" t="str">
        <f>'G-1 All Habitats'!B69</f>
        <v>Urban - Ground level planters</v>
      </c>
      <c r="B93" s="404" t="str">
        <f>'G-1 All Habitats'!N69</f>
        <v>Low</v>
      </c>
      <c r="C93" s="404">
        <f>'G-1 All Habitats'!O69</f>
        <v>1</v>
      </c>
      <c r="D93" s="404" t="str">
        <f>'G-1 All Habitats'!P69</f>
        <v>Low</v>
      </c>
      <c r="E93" s="404">
        <f>'G-1 All Habitats'!Q69</f>
        <v>1</v>
      </c>
    </row>
    <row r="94" spans="1:5" x14ac:dyDescent="0.25">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25">
      <c r="A95" s="85" t="str">
        <f>'G-1 All Habitats'!B71</f>
        <v>Urban - Introduced shrub</v>
      </c>
      <c r="B95" s="404" t="str">
        <f>'G-1 All Habitats'!N71</f>
        <v>Low</v>
      </c>
      <c r="C95" s="404">
        <f>'G-1 All Habitats'!O71</f>
        <v>1</v>
      </c>
      <c r="D95" s="404" t="str">
        <f>'G-1 All Habitats'!P71</f>
        <v>Low</v>
      </c>
      <c r="E95" s="404">
        <f>'G-1 All Habitats'!Q71</f>
        <v>1</v>
      </c>
    </row>
    <row r="96" spans="1:5" x14ac:dyDescent="0.2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25">
      <c r="A97" s="85" t="str">
        <f>'G-1 All Habitats'!B73</f>
        <v>Urban - Rain garden</v>
      </c>
      <c r="B97" s="404" t="str">
        <f>'G-1 All Habitats'!N73</f>
        <v>Low</v>
      </c>
      <c r="C97" s="404">
        <f>'G-1 All Habitats'!O73</f>
        <v>1</v>
      </c>
      <c r="D97" s="404" t="str">
        <f>'G-1 All Habitats'!P73</f>
        <v>Low</v>
      </c>
      <c r="E97" s="404">
        <f>'G-1 All Habitats'!Q73</f>
        <v>1</v>
      </c>
    </row>
    <row r="98" spans="1:5" x14ac:dyDescent="0.2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25">
      <c r="A99" s="85" t="str">
        <f>'G-1 All Habitats'!B80</f>
        <v>Individual trees - Urban tree</v>
      </c>
      <c r="B99" s="404" t="str">
        <f>'G-1 All Habitats'!N80</f>
        <v>Low</v>
      </c>
      <c r="C99" s="404">
        <f>'G-1 All Habitats'!O80</f>
        <v>1</v>
      </c>
      <c r="D99" s="404" t="str">
        <f>'G-1 All Habitats'!P80</f>
        <v>Low</v>
      </c>
      <c r="E99" s="404">
        <f>'G-1 All Habitats'!Q80</f>
        <v>1</v>
      </c>
    </row>
    <row r="100" spans="1:5" x14ac:dyDescent="0.2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25">
      <c r="A101" s="85" t="str">
        <f>'G-1 All Habitats'!B76</f>
        <v>Urban - Unvegetated garden</v>
      </c>
      <c r="B101" s="404" t="str">
        <f>'G-1 All Habitats'!N76</f>
        <v>Low</v>
      </c>
      <c r="C101" s="404">
        <f>'G-1 All Habitats'!O76</f>
        <v>1</v>
      </c>
      <c r="D101" s="404" t="str">
        <f>'G-1 All Habitats'!P76</f>
        <v>Low</v>
      </c>
      <c r="E101" s="404">
        <f>'G-1 All Habitats'!Q76</f>
        <v>1</v>
      </c>
    </row>
    <row r="102" spans="1:5" x14ac:dyDescent="0.25">
      <c r="A102" s="85" t="str">
        <f>'G-1 All Habitats'!B79</f>
        <v>Urban - Vegetated garden</v>
      </c>
      <c r="B102" s="404" t="str">
        <f>'G-1 All Habitats'!N79</f>
        <v>Low</v>
      </c>
      <c r="C102" s="404">
        <f>'G-1 All Habitats'!O79</f>
        <v>1</v>
      </c>
      <c r="D102" s="404" t="str">
        <f>'G-1 All Habitats'!P79</f>
        <v>Low</v>
      </c>
      <c r="E102" s="404">
        <f>'G-1 All Habitats'!Q79</f>
        <v>1</v>
      </c>
    </row>
    <row r="103" spans="1:5" x14ac:dyDescent="0.25">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2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25">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25">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2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2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25">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2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25">
      <c r="A111" s="85" t="str">
        <f>'G-1 All Habitats'!B90</f>
        <v>Woodland and forest - Felled</v>
      </c>
      <c r="B111" s="404" t="s">
        <v>213</v>
      </c>
      <c r="C111" s="404">
        <f>'G-1 All Habitats'!O90</f>
        <v>0.33</v>
      </c>
      <c r="D111" s="404" t="str">
        <f>'G-1 All Habitats'!P90</f>
        <v>Low</v>
      </c>
      <c r="E111" s="404">
        <f>'G-1 All Habitats'!Q90</f>
        <v>1</v>
      </c>
    </row>
    <row r="112" spans="1:5" x14ac:dyDescent="0.2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2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2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2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2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2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2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2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2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2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2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2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2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2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2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2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2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2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2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2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2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25">
      <c r="A133" s="85" t="s">
        <v>926</v>
      </c>
      <c r="B133" s="404" t="s">
        <v>216</v>
      </c>
      <c r="C133" s="404">
        <v>1</v>
      </c>
      <c r="D133" s="404" t="s">
        <v>216</v>
      </c>
      <c r="E133" s="404">
        <v>1</v>
      </c>
    </row>
    <row r="134" spans="1:5" x14ac:dyDescent="0.25">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row r="143" spans="1:5" x14ac:dyDescent="0.25"/>
    <row r="144" spans="1:5" x14ac:dyDescent="0.25"/>
    <row r="145" x14ac:dyDescent="0.25"/>
    <row r="146" x14ac:dyDescent="0.25"/>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3.8" zeroHeight="1" x14ac:dyDescent="0.25"/>
  <cols>
    <col min="1" max="1" width="14.5546875" style="30" customWidth="1"/>
    <col min="2" max="2" width="16.5546875" style="30" customWidth="1"/>
    <col min="3" max="3" width="16.44140625" style="30" customWidth="1"/>
    <col min="4" max="4" width="3" style="30" customWidth="1"/>
    <col min="5" max="5" width="4.21875" style="30" customWidth="1"/>
    <col min="6" max="6" width="88.77734375" style="30" bestFit="1" customWidth="1"/>
    <col min="7" max="7" width="13.21875" style="30" bestFit="1" customWidth="1"/>
    <col min="8" max="8" width="18.5546875" style="30" bestFit="1" customWidth="1"/>
    <col min="9" max="9" width="16.77734375" style="30" bestFit="1" customWidth="1"/>
    <col min="10" max="10" width="17.77734375" style="30" bestFit="1" customWidth="1"/>
    <col min="11" max="11" width="13" style="30" bestFit="1" customWidth="1"/>
    <col min="12" max="12" width="23.5546875" style="30" bestFit="1" customWidth="1"/>
    <col min="13" max="13" width="18.5546875" style="30" bestFit="1" customWidth="1"/>
    <col min="14" max="14" width="9.21875" style="30" customWidth="1"/>
    <col min="15" max="16" width="12.21875" style="30" customWidth="1"/>
    <col min="17" max="17" width="12.77734375" style="30" customWidth="1"/>
    <col min="18" max="18" width="11.44140625" style="30" customWidth="1"/>
    <col min="19" max="33" width="9.21875" style="30" customWidth="1"/>
    <col min="34" max="34" width="8.21875" style="30" hidden="1" customWidth="1"/>
    <col min="35" max="16384" width="9.21875" style="30" hidden="1"/>
  </cols>
  <sheetData>
    <row r="1" spans="1:13" ht="55.2" customHeight="1" x14ac:dyDescent="0.5">
      <c r="A1" s="1651"/>
      <c r="B1" s="1651"/>
      <c r="C1" s="1651"/>
      <c r="F1" s="227"/>
      <c r="G1" s="227"/>
      <c r="H1" s="227"/>
      <c r="I1" s="227"/>
      <c r="J1" s="227"/>
      <c r="K1" s="227"/>
      <c r="L1" s="227"/>
      <c r="M1" s="227"/>
    </row>
    <row r="2" spans="1:13" ht="29.55" customHeight="1" x14ac:dyDescent="0.5">
      <c r="A2" s="1650" t="s">
        <v>1043</v>
      </c>
      <c r="B2" s="1650"/>
      <c r="C2" s="1650"/>
      <c r="F2" s="228"/>
      <c r="G2" s="1652" t="s">
        <v>1044</v>
      </c>
      <c r="H2" s="1652"/>
      <c r="I2" s="1652"/>
      <c r="J2" s="1652"/>
      <c r="K2" s="1652"/>
      <c r="L2" s="1652"/>
      <c r="M2" s="1653"/>
    </row>
    <row r="3" spans="1:13" ht="27.6" x14ac:dyDescent="0.25">
      <c r="A3" s="78" t="s">
        <v>1045</v>
      </c>
      <c r="B3" s="78" t="s">
        <v>1046</v>
      </c>
      <c r="C3" s="78" t="s">
        <v>1047</v>
      </c>
      <c r="F3" s="229" t="s">
        <v>933</v>
      </c>
      <c r="G3" s="79" t="s">
        <v>68</v>
      </c>
      <c r="H3" s="79" t="s">
        <v>472</v>
      </c>
      <c r="I3" s="79" t="s">
        <v>67</v>
      </c>
      <c r="J3" s="79" t="s">
        <v>482</v>
      </c>
      <c r="K3" s="100" t="s">
        <v>328</v>
      </c>
      <c r="L3" s="100" t="s">
        <v>492</v>
      </c>
      <c r="M3" s="79" t="s">
        <v>496</v>
      </c>
    </row>
    <row r="4" spans="1:13" x14ac:dyDescent="0.25">
      <c r="A4" s="79">
        <v>0</v>
      </c>
      <c r="B4" s="404">
        <v>100</v>
      </c>
      <c r="C4" s="492">
        <v>1</v>
      </c>
      <c r="F4" s="68" t="str">
        <f>'G-1 All Habitats'!B3</f>
        <v>Cropland - Arable field margins cultivated annually</v>
      </c>
      <c r="G4" s="404" t="s">
        <v>1048</v>
      </c>
      <c r="H4" s="404" t="s">
        <v>1048</v>
      </c>
      <c r="I4" s="404" t="s">
        <v>1048</v>
      </c>
      <c r="J4" s="404" t="s">
        <v>1048</v>
      </c>
      <c r="K4" s="404" t="s">
        <v>1048</v>
      </c>
      <c r="L4" s="404">
        <v>1</v>
      </c>
      <c r="M4" s="404" t="s">
        <v>1048</v>
      </c>
    </row>
    <row r="5" spans="1:13" x14ac:dyDescent="0.25">
      <c r="A5" s="79">
        <v>1</v>
      </c>
      <c r="B5" s="404">
        <v>96.5</v>
      </c>
      <c r="C5" s="492">
        <v>0.96499999999999997</v>
      </c>
      <c r="F5" s="68" t="str">
        <f>'G-1 All Habitats'!B4</f>
        <v>Cropland - Arable field margins game bird mix</v>
      </c>
      <c r="G5" s="404" t="s">
        <v>1048</v>
      </c>
      <c r="H5" s="404" t="s">
        <v>1048</v>
      </c>
      <c r="I5" s="404" t="s">
        <v>1048</v>
      </c>
      <c r="J5" s="404" t="s">
        <v>1048</v>
      </c>
      <c r="K5" s="404" t="s">
        <v>1048</v>
      </c>
      <c r="L5" s="404">
        <v>1</v>
      </c>
      <c r="M5" s="404" t="s">
        <v>1048</v>
      </c>
    </row>
    <row r="6" spans="1:13" x14ac:dyDescent="0.25">
      <c r="A6" s="79">
        <v>2</v>
      </c>
      <c r="B6" s="404">
        <v>93.122500000000002</v>
      </c>
      <c r="C6" s="492">
        <v>0.93122499999999997</v>
      </c>
      <c r="F6" s="68" t="str">
        <f>'G-1 All Habitats'!B5</f>
        <v>Cropland - Arable field margins pollen and nectar</v>
      </c>
      <c r="G6" s="404" t="s">
        <v>1048</v>
      </c>
      <c r="H6" s="404" t="s">
        <v>1048</v>
      </c>
      <c r="I6" s="404" t="s">
        <v>1048</v>
      </c>
      <c r="J6" s="404" t="s">
        <v>1048</v>
      </c>
      <c r="K6" s="404" t="s">
        <v>1048</v>
      </c>
      <c r="L6" s="404">
        <v>1</v>
      </c>
      <c r="M6" s="404" t="s">
        <v>1048</v>
      </c>
    </row>
    <row r="7" spans="1:13" x14ac:dyDescent="0.25">
      <c r="A7" s="79">
        <v>3</v>
      </c>
      <c r="B7" s="404">
        <v>89.863212500000003</v>
      </c>
      <c r="C7" s="492">
        <v>0.898632125</v>
      </c>
      <c r="F7" s="68" t="str">
        <f>'G-1 All Habitats'!B6</f>
        <v>Cropland - Arable field margins tussocky</v>
      </c>
      <c r="G7" s="404" t="s">
        <v>1048</v>
      </c>
      <c r="H7" s="404" t="s">
        <v>1048</v>
      </c>
      <c r="I7" s="404" t="s">
        <v>1048</v>
      </c>
      <c r="J7" s="404" t="s">
        <v>1048</v>
      </c>
      <c r="K7" s="404" t="s">
        <v>1048</v>
      </c>
      <c r="L7" s="404">
        <v>1</v>
      </c>
      <c r="M7" s="404" t="s">
        <v>1048</v>
      </c>
    </row>
    <row r="8" spans="1:13" x14ac:dyDescent="0.25">
      <c r="A8" s="79">
        <v>4</v>
      </c>
      <c r="B8" s="404">
        <v>86.718000059999994</v>
      </c>
      <c r="C8" s="492">
        <v>0.86718000059999989</v>
      </c>
      <c r="F8" s="68" t="str">
        <f>'G-1 All Habitats'!B7</f>
        <v>Cropland - Cereal crops</v>
      </c>
      <c r="G8" s="404" t="s">
        <v>1048</v>
      </c>
      <c r="H8" s="404" t="s">
        <v>1048</v>
      </c>
      <c r="I8" s="404" t="s">
        <v>1048</v>
      </c>
      <c r="J8" s="404" t="s">
        <v>1048</v>
      </c>
      <c r="K8" s="404" t="s">
        <v>1048</v>
      </c>
      <c r="L8" s="404">
        <v>1</v>
      </c>
      <c r="M8" s="404" t="s">
        <v>1048</v>
      </c>
    </row>
    <row r="9" spans="1:13" x14ac:dyDescent="0.25">
      <c r="A9" s="79">
        <v>5</v>
      </c>
      <c r="B9" s="404">
        <v>83.682870059999999</v>
      </c>
      <c r="C9" s="492">
        <v>0.83682870060000003</v>
      </c>
      <c r="F9" s="68" t="str">
        <f>'G-1 All Habitats'!B8</f>
        <v>Cropland - Winter stubble</v>
      </c>
      <c r="G9" s="404" t="s">
        <v>1048</v>
      </c>
      <c r="H9" s="404" t="s">
        <v>1048</v>
      </c>
      <c r="I9" s="404" t="s">
        <v>1048</v>
      </c>
      <c r="J9" s="404" t="s">
        <v>1048</v>
      </c>
      <c r="K9" s="404" t="s">
        <v>1048</v>
      </c>
      <c r="L9" s="404">
        <v>1</v>
      </c>
      <c r="M9" s="404" t="s">
        <v>1048</v>
      </c>
    </row>
    <row r="10" spans="1:13" x14ac:dyDescent="0.25">
      <c r="A10" s="79">
        <v>6</v>
      </c>
      <c r="B10" s="404">
        <v>80.753969609999999</v>
      </c>
      <c r="C10" s="492">
        <v>0.80753969609999998</v>
      </c>
      <c r="F10" s="68" t="str">
        <f>'G-1 All Habitats'!B9</f>
        <v>Cropland - Horticulture</v>
      </c>
      <c r="G10" s="404" t="s">
        <v>1048</v>
      </c>
      <c r="H10" s="404" t="s">
        <v>1048</v>
      </c>
      <c r="I10" s="404" t="s">
        <v>1048</v>
      </c>
      <c r="J10" s="404" t="s">
        <v>1048</v>
      </c>
      <c r="K10" s="404" t="s">
        <v>1048</v>
      </c>
      <c r="L10" s="404">
        <v>1</v>
      </c>
      <c r="M10" s="404" t="s">
        <v>1048</v>
      </c>
    </row>
    <row r="11" spans="1:13" x14ac:dyDescent="0.25">
      <c r="A11" s="79">
        <v>7</v>
      </c>
      <c r="B11" s="404">
        <v>77.927580669999998</v>
      </c>
      <c r="C11" s="492">
        <v>0.77927580669999996</v>
      </c>
      <c r="F11" s="68" t="str">
        <f>'G-1 All Habitats'!B10</f>
        <v>Cropland - Intensive orchards</v>
      </c>
      <c r="G11" s="404" t="s">
        <v>1048</v>
      </c>
      <c r="H11" s="404" t="s">
        <v>1048</v>
      </c>
      <c r="I11" s="404" t="s">
        <v>1048</v>
      </c>
      <c r="J11" s="404" t="s">
        <v>1048</v>
      </c>
      <c r="K11" s="404" t="s">
        <v>1048</v>
      </c>
      <c r="L11" s="404">
        <v>1</v>
      </c>
      <c r="M11" s="404" t="s">
        <v>1048</v>
      </c>
    </row>
    <row r="12" spans="1:13" x14ac:dyDescent="0.25">
      <c r="A12" s="79">
        <v>8</v>
      </c>
      <c r="B12" s="404">
        <v>75.200115350000004</v>
      </c>
      <c r="C12" s="492">
        <v>0.75200115350000007</v>
      </c>
      <c r="F12" s="68" t="str">
        <f>'G-1 All Habitats'!B11</f>
        <v>Cropland - Non-cereal crops</v>
      </c>
      <c r="G12" s="404" t="s">
        <v>1048</v>
      </c>
      <c r="H12" s="404" t="s">
        <v>1048</v>
      </c>
      <c r="I12" s="404" t="s">
        <v>1048</v>
      </c>
      <c r="J12" s="404" t="s">
        <v>1048</v>
      </c>
      <c r="K12" s="404" t="s">
        <v>1048</v>
      </c>
      <c r="L12" s="404">
        <v>1</v>
      </c>
      <c r="M12" s="404" t="s">
        <v>1048</v>
      </c>
    </row>
    <row r="13" spans="1:13" x14ac:dyDescent="0.25">
      <c r="A13" s="79">
        <v>9</v>
      </c>
      <c r="B13" s="404">
        <v>72.568111310000006</v>
      </c>
      <c r="C13" s="492">
        <v>0.72568111310000005</v>
      </c>
      <c r="F13" s="68" t="str">
        <f>'G-1 All Habitats'!B12</f>
        <v>Cropland - Temporary grass and clover leys</v>
      </c>
      <c r="G13" s="404" t="s">
        <v>1048</v>
      </c>
      <c r="H13" s="404" t="s">
        <v>1048</v>
      </c>
      <c r="I13" s="404" t="s">
        <v>1048</v>
      </c>
      <c r="J13" s="404" t="s">
        <v>1048</v>
      </c>
      <c r="K13" s="404" t="s">
        <v>1048</v>
      </c>
      <c r="L13" s="404">
        <v>1</v>
      </c>
      <c r="M13" s="404" t="s">
        <v>1048</v>
      </c>
    </row>
    <row r="14" spans="1:13" x14ac:dyDescent="0.25">
      <c r="A14" s="79">
        <v>10</v>
      </c>
      <c r="B14" s="404">
        <v>70.028227419999993</v>
      </c>
      <c r="C14" s="492">
        <v>0.70028227419999989</v>
      </c>
      <c r="F14" s="68" t="str">
        <f>'G-1 All Habitats'!B13</f>
        <v>Grassland - Traditional orchards</v>
      </c>
      <c r="G14" s="404">
        <v>30</v>
      </c>
      <c r="H14" s="404">
        <v>25</v>
      </c>
      <c r="I14" s="404">
        <v>20</v>
      </c>
      <c r="J14" s="404">
        <v>10</v>
      </c>
      <c r="K14" s="404">
        <v>5</v>
      </c>
      <c r="L14" s="404" t="s">
        <v>1048</v>
      </c>
      <c r="M14" s="404" t="s">
        <v>1048</v>
      </c>
    </row>
    <row r="15" spans="1:13" x14ac:dyDescent="0.25">
      <c r="A15" s="79">
        <v>11</v>
      </c>
      <c r="B15" s="404">
        <v>67.577239460000001</v>
      </c>
      <c r="C15" s="492">
        <v>0.67577239460000005</v>
      </c>
      <c r="F15" s="68" t="str">
        <f>'G-1 All Habitats'!B14</f>
        <v>Grassland - Bracken</v>
      </c>
      <c r="G15" s="404" t="s">
        <v>1048</v>
      </c>
      <c r="H15" s="404" t="s">
        <v>1048</v>
      </c>
      <c r="I15" s="404" t="s">
        <v>1048</v>
      </c>
      <c r="J15" s="404" t="s">
        <v>1048</v>
      </c>
      <c r="K15" s="404" t="s">
        <v>1048</v>
      </c>
      <c r="L15" s="404">
        <v>1</v>
      </c>
      <c r="M15" s="404" t="s">
        <v>1048</v>
      </c>
    </row>
    <row r="16" spans="1:13" x14ac:dyDescent="0.25">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1048</v>
      </c>
      <c r="M16" s="404" t="s">
        <v>1048</v>
      </c>
    </row>
    <row r="17" spans="1:13" x14ac:dyDescent="0.25">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1048</v>
      </c>
      <c r="M17" s="404" t="s">
        <v>1048</v>
      </c>
    </row>
    <row r="18" spans="1:13" x14ac:dyDescent="0.25">
      <c r="A18" s="79">
        <v>14</v>
      </c>
      <c r="B18" s="404">
        <v>60.727078290000001</v>
      </c>
      <c r="C18" s="492">
        <v>0.60727078290000003</v>
      </c>
      <c r="F18" s="68" t="str">
        <f>'G-1 All Habitats'!B17</f>
        <v>Grassland - Lowland dry acid grassland</v>
      </c>
      <c r="G18" s="404" t="s">
        <v>1049</v>
      </c>
      <c r="H18" s="404">
        <v>25</v>
      </c>
      <c r="I18" s="404">
        <v>20</v>
      </c>
      <c r="J18" s="404">
        <v>15</v>
      </c>
      <c r="K18" s="404">
        <v>10</v>
      </c>
      <c r="L18" s="404" t="s">
        <v>1048</v>
      </c>
      <c r="M18" s="404" t="s">
        <v>1048</v>
      </c>
    </row>
    <row r="19" spans="1:13" x14ac:dyDescent="0.25">
      <c r="A19" s="79">
        <v>15</v>
      </c>
      <c r="B19" s="404">
        <v>58.601630550000003</v>
      </c>
      <c r="C19" s="492">
        <v>0.58601630550000006</v>
      </c>
      <c r="F19" s="68" t="str">
        <f>'G-1 All Habitats'!B18</f>
        <v>Grassland - Lowland meadows</v>
      </c>
      <c r="G19" s="404">
        <v>15</v>
      </c>
      <c r="H19" s="404">
        <v>12</v>
      </c>
      <c r="I19" s="404">
        <v>10</v>
      </c>
      <c r="J19" s="404">
        <v>8</v>
      </c>
      <c r="K19" s="404">
        <v>5</v>
      </c>
      <c r="L19" s="404" t="s">
        <v>1048</v>
      </c>
      <c r="M19" s="404" t="s">
        <v>1048</v>
      </c>
    </row>
    <row r="20" spans="1:13" x14ac:dyDescent="0.25">
      <c r="A20" s="79">
        <v>16</v>
      </c>
      <c r="B20" s="404">
        <v>56.550573479999997</v>
      </c>
      <c r="C20" s="492">
        <v>0.56550573479999999</v>
      </c>
      <c r="F20" s="68" t="str">
        <f>'G-1 All Habitats'!B19</f>
        <v>Grassland - Modified grassland</v>
      </c>
      <c r="G20" s="404">
        <v>7</v>
      </c>
      <c r="H20" s="404">
        <v>5</v>
      </c>
      <c r="I20" s="404">
        <v>4</v>
      </c>
      <c r="J20" s="404">
        <v>2</v>
      </c>
      <c r="K20" s="404">
        <v>1</v>
      </c>
      <c r="L20" s="404" t="s">
        <v>1048</v>
      </c>
      <c r="M20" s="404" t="s">
        <v>1048</v>
      </c>
    </row>
    <row r="21" spans="1:13" ht="15" customHeight="1" x14ac:dyDescent="0.25">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1048</v>
      </c>
      <c r="M21" s="404" t="s">
        <v>1048</v>
      </c>
    </row>
    <row r="22" spans="1:13" ht="15" customHeight="1" x14ac:dyDescent="0.25">
      <c r="A22" s="79">
        <v>18</v>
      </c>
      <c r="B22" s="404">
        <v>52.661307790000002</v>
      </c>
      <c r="C22" s="492">
        <v>0.5266130779</v>
      </c>
      <c r="F22" s="68" t="str">
        <f>'G-1 All Habitats'!B21</f>
        <v>Grassland - Other neutral grassland</v>
      </c>
      <c r="G22" s="404">
        <v>10</v>
      </c>
      <c r="H22" s="404">
        <v>7</v>
      </c>
      <c r="I22" s="404">
        <v>5</v>
      </c>
      <c r="J22" s="404">
        <v>3</v>
      </c>
      <c r="K22" s="404">
        <v>2</v>
      </c>
      <c r="L22" s="404" t="s">
        <v>1048</v>
      </c>
      <c r="M22" s="404" t="s">
        <v>1048</v>
      </c>
    </row>
    <row r="23" spans="1:13" ht="15" customHeight="1" x14ac:dyDescent="0.25">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1048</v>
      </c>
      <c r="M23" s="404" t="s">
        <v>1048</v>
      </c>
    </row>
    <row r="24" spans="1:13" ht="15" customHeight="1" x14ac:dyDescent="0.25">
      <c r="A24" s="79">
        <v>20</v>
      </c>
      <c r="B24" s="404">
        <v>49.039526350000003</v>
      </c>
      <c r="C24" s="492">
        <v>0.49039526350000001</v>
      </c>
      <c r="F24" s="68" t="str">
        <f>'G-1 All Habitats'!B23</f>
        <v>Grassland - Upland acid grassland</v>
      </c>
      <c r="G24" s="404">
        <v>15</v>
      </c>
      <c r="H24" s="404">
        <v>12</v>
      </c>
      <c r="I24" s="404">
        <v>10</v>
      </c>
      <c r="J24" s="404">
        <v>5</v>
      </c>
      <c r="K24" s="404">
        <v>1</v>
      </c>
      <c r="L24" s="404" t="s">
        <v>1048</v>
      </c>
      <c r="M24" s="404" t="s">
        <v>1048</v>
      </c>
    </row>
    <row r="25" spans="1:13" ht="15" customHeight="1" x14ac:dyDescent="0.25">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1048</v>
      </c>
      <c r="M25" s="404" t="s">
        <v>1048</v>
      </c>
    </row>
    <row r="26" spans="1:13" ht="15" customHeight="1" x14ac:dyDescent="0.25">
      <c r="A26" s="79">
        <v>22</v>
      </c>
      <c r="B26" s="404">
        <v>45.666832919999997</v>
      </c>
      <c r="C26" s="492">
        <v>0.4566683292</v>
      </c>
      <c r="F26" s="68" t="str">
        <f>'G-1 All Habitats'!B25</f>
        <v>Grassland - Upland hay meadows</v>
      </c>
      <c r="G26" s="404">
        <v>20</v>
      </c>
      <c r="H26" s="404">
        <v>18</v>
      </c>
      <c r="I26" s="404">
        <v>15</v>
      </c>
      <c r="J26" s="404">
        <v>12</v>
      </c>
      <c r="K26" s="404">
        <v>10</v>
      </c>
      <c r="L26" s="404" t="s">
        <v>1048</v>
      </c>
      <c r="M26" s="404" t="s">
        <v>1048</v>
      </c>
    </row>
    <row r="27" spans="1:13" x14ac:dyDescent="0.25">
      <c r="A27" s="79">
        <v>23</v>
      </c>
      <c r="B27" s="404">
        <v>44.068493770000003</v>
      </c>
      <c r="C27" s="492">
        <v>0.44068493770000006</v>
      </c>
      <c r="F27" s="68" t="str">
        <f>'G-1 All Habitats'!B26</f>
        <v>Heathland and shrub - Blackthorn scrub</v>
      </c>
      <c r="G27" s="404">
        <v>10</v>
      </c>
      <c r="H27" s="404">
        <v>7</v>
      </c>
      <c r="I27" s="404">
        <v>5</v>
      </c>
      <c r="J27" s="404">
        <v>3</v>
      </c>
      <c r="K27" s="404">
        <v>1</v>
      </c>
      <c r="L27" s="404" t="s">
        <v>1048</v>
      </c>
      <c r="M27" s="404" t="s">
        <v>1048</v>
      </c>
    </row>
    <row r="28" spans="1:13" x14ac:dyDescent="0.25">
      <c r="A28" s="79">
        <v>24</v>
      </c>
      <c r="B28" s="404">
        <v>42.52609649</v>
      </c>
      <c r="C28" s="492">
        <v>0.42526096489999998</v>
      </c>
      <c r="F28" s="68" t="str">
        <f>'G-1 All Habitats'!B27</f>
        <v>Heathland and shrub - Bramble scrub</v>
      </c>
      <c r="G28" s="404" t="s">
        <v>1048</v>
      </c>
      <c r="H28" s="404" t="s">
        <v>1048</v>
      </c>
      <c r="I28" s="404" t="s">
        <v>1048</v>
      </c>
      <c r="J28" s="404" t="s">
        <v>1048</v>
      </c>
      <c r="K28" s="404" t="s">
        <v>1048</v>
      </c>
      <c r="L28" s="404">
        <v>1</v>
      </c>
      <c r="M28" s="404" t="s">
        <v>1048</v>
      </c>
    </row>
    <row r="29" spans="1:13" x14ac:dyDescent="0.25">
      <c r="A29" s="79">
        <v>25</v>
      </c>
      <c r="B29" s="404">
        <v>41.037683110000003</v>
      </c>
      <c r="C29" s="492">
        <v>0.41037683110000001</v>
      </c>
      <c r="F29" s="68" t="str">
        <f>'G-1 All Habitats'!B28</f>
        <v>Heathland and shrub - Gorse scrub</v>
      </c>
      <c r="G29" s="404">
        <v>10</v>
      </c>
      <c r="H29" s="404">
        <v>7</v>
      </c>
      <c r="I29" s="404">
        <v>5</v>
      </c>
      <c r="J29" s="404">
        <v>3</v>
      </c>
      <c r="K29" s="404">
        <v>1</v>
      </c>
      <c r="L29" s="404" t="s">
        <v>1048</v>
      </c>
      <c r="M29" s="404" t="s">
        <v>1048</v>
      </c>
    </row>
    <row r="30" spans="1:13" x14ac:dyDescent="0.25">
      <c r="A30" s="79">
        <v>26</v>
      </c>
      <c r="B30" s="404">
        <v>39.601364199999999</v>
      </c>
      <c r="C30" s="492">
        <v>0.396013642</v>
      </c>
      <c r="F30" s="68" t="str">
        <f>'G-1 All Habitats'!B29</f>
        <v>Heathland and shrub - Hawthorn scrub</v>
      </c>
      <c r="G30" s="404">
        <v>10</v>
      </c>
      <c r="H30" s="404">
        <v>7</v>
      </c>
      <c r="I30" s="404">
        <v>5</v>
      </c>
      <c r="J30" s="404">
        <v>3</v>
      </c>
      <c r="K30" s="404">
        <v>1</v>
      </c>
      <c r="L30" s="404" t="s">
        <v>1048</v>
      </c>
      <c r="M30" s="404" t="s">
        <v>1048</v>
      </c>
    </row>
    <row r="31" spans="1:13" x14ac:dyDescent="0.25">
      <c r="A31" s="79">
        <v>27</v>
      </c>
      <c r="B31" s="404">
        <v>38.215316459999997</v>
      </c>
      <c r="C31" s="492">
        <v>0.38215316459999998</v>
      </c>
      <c r="F31" s="68" t="str">
        <f>'G-1 All Habitats'!B30</f>
        <v>Heathland and shrub - Hazel scrub</v>
      </c>
      <c r="G31" s="404">
        <v>15</v>
      </c>
      <c r="H31" s="404">
        <v>12</v>
      </c>
      <c r="I31" s="404">
        <v>10</v>
      </c>
      <c r="J31" s="404">
        <v>7</v>
      </c>
      <c r="K31" s="404">
        <v>5</v>
      </c>
      <c r="L31" s="404" t="s">
        <v>1048</v>
      </c>
      <c r="M31" s="404" t="s">
        <v>1048</v>
      </c>
    </row>
    <row r="32" spans="1:13" x14ac:dyDescent="0.25">
      <c r="A32" s="79">
        <v>28</v>
      </c>
      <c r="B32" s="404">
        <v>36.877780379999997</v>
      </c>
      <c r="C32" s="492">
        <v>0.36877780379999997</v>
      </c>
      <c r="F32" s="68" t="s">
        <v>606</v>
      </c>
      <c r="G32" s="404">
        <v>15</v>
      </c>
      <c r="H32" s="404">
        <v>12</v>
      </c>
      <c r="I32" s="404">
        <v>10</v>
      </c>
      <c r="J32" s="404">
        <v>7</v>
      </c>
      <c r="K32" s="404">
        <v>5</v>
      </c>
      <c r="L32" s="404" t="s">
        <v>1048</v>
      </c>
      <c r="M32" s="404" t="s">
        <v>1048</v>
      </c>
    </row>
    <row r="33" spans="1:13" x14ac:dyDescent="0.25">
      <c r="A33" s="79">
        <v>29</v>
      </c>
      <c r="B33" s="404">
        <v>35.587058069999998</v>
      </c>
      <c r="C33" s="492">
        <v>0.35587058069999999</v>
      </c>
      <c r="F33" s="68" t="str">
        <f>'G-1 All Habitats'!B31</f>
        <v>Heathland and shrub - Lowland heathland</v>
      </c>
      <c r="G33" s="404" t="s">
        <v>1049</v>
      </c>
      <c r="H33" s="404">
        <v>25</v>
      </c>
      <c r="I33" s="404">
        <v>20</v>
      </c>
      <c r="J33" s="404">
        <v>15</v>
      </c>
      <c r="K33" s="404">
        <v>10</v>
      </c>
      <c r="L33" s="404" t="s">
        <v>1048</v>
      </c>
      <c r="M33" s="404" t="s">
        <v>1048</v>
      </c>
    </row>
    <row r="34" spans="1:13" x14ac:dyDescent="0.25">
      <c r="A34" s="79">
        <v>30</v>
      </c>
      <c r="B34" s="404">
        <v>34.34151104</v>
      </c>
      <c r="C34" s="492">
        <v>0.3434151104</v>
      </c>
      <c r="F34" s="68" t="str">
        <f>'G-1 All Habitats'!B32</f>
        <v>Heathland and shrub - Mixed scrub</v>
      </c>
      <c r="G34" s="404">
        <v>10</v>
      </c>
      <c r="H34" s="404">
        <v>7</v>
      </c>
      <c r="I34" s="404">
        <v>5</v>
      </c>
      <c r="J34" s="404">
        <v>3</v>
      </c>
      <c r="K34" s="404">
        <v>1</v>
      </c>
      <c r="L34" s="404" t="s">
        <v>1048</v>
      </c>
      <c r="M34" s="404" t="s">
        <v>1048</v>
      </c>
    </row>
    <row r="35" spans="1:13" x14ac:dyDescent="0.25">
      <c r="A35" s="79">
        <v>31</v>
      </c>
      <c r="B35" s="404">
        <v>33.139558149999999</v>
      </c>
      <c r="C35" s="492">
        <v>0.33139558149999998</v>
      </c>
      <c r="F35" s="68" t="str">
        <f>'G-1 All Habitats'!B33</f>
        <v>Heathland and shrub - Mountain heaths and willow scrub</v>
      </c>
      <c r="G35" s="404" t="s">
        <v>1049</v>
      </c>
      <c r="H35" s="404" t="s">
        <v>1049</v>
      </c>
      <c r="I35" s="404">
        <v>25</v>
      </c>
      <c r="J35" s="404">
        <v>23</v>
      </c>
      <c r="K35" s="404">
        <v>15</v>
      </c>
      <c r="L35" s="404" t="s">
        <v>1048</v>
      </c>
      <c r="M35" s="404" t="s">
        <v>1048</v>
      </c>
    </row>
    <row r="36" spans="1:13" x14ac:dyDescent="0.25">
      <c r="A36" s="79" t="s">
        <v>1049</v>
      </c>
      <c r="B36" s="441">
        <v>31.979673609999999</v>
      </c>
      <c r="C36" s="492">
        <v>0.31979673609999998</v>
      </c>
      <c r="F36" s="68" t="str">
        <f>'G-1 All Habitats'!B34</f>
        <v>Heathland and shrub - Rhododendron scrub</v>
      </c>
      <c r="G36" s="404" t="s">
        <v>1048</v>
      </c>
      <c r="H36" s="404" t="s">
        <v>1048</v>
      </c>
      <c r="I36" s="404" t="s">
        <v>1048</v>
      </c>
      <c r="J36" s="404" t="s">
        <v>1048</v>
      </c>
      <c r="K36" s="404" t="s">
        <v>1048</v>
      </c>
      <c r="L36" s="404">
        <v>1</v>
      </c>
      <c r="M36" s="404" t="s">
        <v>1048</v>
      </c>
    </row>
    <row r="37" spans="1:13" x14ac:dyDescent="0.25">
      <c r="A37" s="230" t="s">
        <v>1048</v>
      </c>
      <c r="B37" s="493" t="s">
        <v>1037</v>
      </c>
      <c r="C37" s="493" t="s">
        <v>1037</v>
      </c>
      <c r="F37" s="68" t="str">
        <f>'G-1 All Habitats'!B35</f>
        <v>Heathland and shrub - Dunes with sea buckthorn (H2160)</v>
      </c>
      <c r="G37" s="404">
        <v>10</v>
      </c>
      <c r="H37" s="404">
        <v>7</v>
      </c>
      <c r="I37" s="404">
        <v>5</v>
      </c>
      <c r="J37" s="404">
        <v>3</v>
      </c>
      <c r="K37" s="404">
        <v>1</v>
      </c>
      <c r="L37" s="404" t="s">
        <v>1048</v>
      </c>
      <c r="M37" s="404" t="s">
        <v>1048</v>
      </c>
    </row>
    <row r="38" spans="1:13" x14ac:dyDescent="0.25">
      <c r="F38" s="68" t="str">
        <f>'G-1 All Habitats'!B36</f>
        <v>Heathland and shrub - Other sea buckthorn scrub</v>
      </c>
      <c r="G38" s="404" t="s">
        <v>1048</v>
      </c>
      <c r="H38" s="404" t="s">
        <v>1048</v>
      </c>
      <c r="I38" s="404" t="s">
        <v>1048</v>
      </c>
      <c r="J38" s="404" t="s">
        <v>1048</v>
      </c>
      <c r="K38" s="404" t="s">
        <v>1048</v>
      </c>
      <c r="L38" s="404">
        <v>1</v>
      </c>
      <c r="M38" s="404" t="s">
        <v>1048</v>
      </c>
    </row>
    <row r="39" spans="1:13" x14ac:dyDescent="0.25">
      <c r="A39" s="33"/>
      <c r="B39" s="33"/>
      <c r="C39" s="33"/>
      <c r="F39" s="68" t="str">
        <f>'G-1 All Habitats'!B38</f>
        <v>Heathland and shrub - Upland heathland</v>
      </c>
      <c r="G39" s="404">
        <v>30</v>
      </c>
      <c r="H39" s="404">
        <v>25</v>
      </c>
      <c r="I39" s="404">
        <v>20</v>
      </c>
      <c r="J39" s="404">
        <v>15</v>
      </c>
      <c r="K39" s="404">
        <v>10</v>
      </c>
      <c r="L39" s="404" t="s">
        <v>1048</v>
      </c>
      <c r="M39" s="404" t="s">
        <v>1048</v>
      </c>
    </row>
    <row r="40" spans="1:13" ht="55.2" x14ac:dyDescent="0.25">
      <c r="A40" s="231" t="s">
        <v>1050</v>
      </c>
      <c r="B40" s="33"/>
      <c r="C40" s="33"/>
      <c r="F40" s="68" t="str">
        <f>'G-1 All Habitats'!B39</f>
        <v>Lakes - Aquifer fed naturally fluctuating water bodies</v>
      </c>
      <c r="G40" s="404">
        <v>30</v>
      </c>
      <c r="H40" s="404">
        <v>20</v>
      </c>
      <c r="I40" s="404">
        <v>15</v>
      </c>
      <c r="J40" s="404">
        <v>10</v>
      </c>
      <c r="K40" s="404">
        <v>1</v>
      </c>
      <c r="L40" s="404" t="s">
        <v>1048</v>
      </c>
      <c r="M40" s="404" t="s">
        <v>1048</v>
      </c>
    </row>
    <row r="41" spans="1:13" x14ac:dyDescent="0.25">
      <c r="A41" s="78" t="s">
        <v>1045</v>
      </c>
      <c r="B41" s="33"/>
      <c r="C41" s="33"/>
      <c r="F41" s="68" t="str">
        <f>'G-1 All Habitats'!B41</f>
        <v>Lakes - High alkalinity lakes</v>
      </c>
      <c r="G41" s="404">
        <v>30</v>
      </c>
      <c r="H41" s="404">
        <v>20</v>
      </c>
      <c r="I41" s="404">
        <v>10</v>
      </c>
      <c r="J41" s="404">
        <v>7</v>
      </c>
      <c r="K41" s="404">
        <v>5</v>
      </c>
      <c r="L41" s="404" t="s">
        <v>1048</v>
      </c>
      <c r="M41" s="404" t="s">
        <v>1048</v>
      </c>
    </row>
    <row r="42" spans="1:13" x14ac:dyDescent="0.25">
      <c r="A42" s="404">
        <v>0</v>
      </c>
      <c r="B42" s="33"/>
      <c r="C42" s="33"/>
      <c r="F42" s="68" t="str">
        <f>'G-1 All Habitats'!B42</f>
        <v>Lakes - Low alkalinity lakes</v>
      </c>
      <c r="G42" s="404">
        <v>30</v>
      </c>
      <c r="H42" s="404">
        <v>20</v>
      </c>
      <c r="I42" s="404">
        <v>10</v>
      </c>
      <c r="J42" s="404">
        <v>7</v>
      </c>
      <c r="K42" s="404">
        <v>5</v>
      </c>
      <c r="L42" s="404" t="s">
        <v>1048</v>
      </c>
      <c r="M42" s="404" t="s">
        <v>1048</v>
      </c>
    </row>
    <row r="43" spans="1:13" x14ac:dyDescent="0.25">
      <c r="A43" s="404">
        <v>1</v>
      </c>
      <c r="B43" s="33"/>
      <c r="C43" s="33"/>
      <c r="F43" s="68" t="str">
        <f>'G-1 All Habitats'!B43</f>
        <v>Lakes - Marl lakes</v>
      </c>
      <c r="G43" s="404">
        <v>30</v>
      </c>
      <c r="H43" s="404">
        <v>20</v>
      </c>
      <c r="I43" s="404">
        <v>10</v>
      </c>
      <c r="J43" s="404">
        <v>7</v>
      </c>
      <c r="K43" s="404">
        <v>5</v>
      </c>
      <c r="L43" s="404" t="s">
        <v>1048</v>
      </c>
      <c r="M43" s="404" t="s">
        <v>1048</v>
      </c>
    </row>
    <row r="44" spans="1:13" x14ac:dyDescent="0.25">
      <c r="A44" s="404">
        <v>2</v>
      </c>
      <c r="B44" s="33"/>
      <c r="C44" s="33"/>
      <c r="F44" s="68" t="str">
        <f>'G-1 All Habitats'!B44</f>
        <v>Lakes - Moderate alkalinity lakes</v>
      </c>
      <c r="G44" s="404">
        <v>30</v>
      </c>
      <c r="H44" s="404">
        <v>20</v>
      </c>
      <c r="I44" s="404">
        <v>10</v>
      </c>
      <c r="J44" s="404">
        <v>7</v>
      </c>
      <c r="K44" s="404">
        <v>5</v>
      </c>
      <c r="L44" s="404" t="s">
        <v>1048</v>
      </c>
      <c r="M44" s="404" t="s">
        <v>1048</v>
      </c>
    </row>
    <row r="45" spans="1:13" x14ac:dyDescent="0.25">
      <c r="A45" s="404">
        <v>3</v>
      </c>
      <c r="B45" s="33"/>
      <c r="C45" s="33"/>
      <c r="F45" s="68" t="str">
        <f>'G-1 All Habitats'!B45</f>
        <v>Lakes - Peat lakes</v>
      </c>
      <c r="G45" s="404">
        <v>30</v>
      </c>
      <c r="H45" s="404">
        <v>20</v>
      </c>
      <c r="I45" s="404">
        <v>10</v>
      </c>
      <c r="J45" s="404">
        <v>7</v>
      </c>
      <c r="K45" s="404">
        <v>5</v>
      </c>
      <c r="L45" s="404" t="s">
        <v>1048</v>
      </c>
      <c r="M45" s="404" t="s">
        <v>1048</v>
      </c>
    </row>
    <row r="46" spans="1:13" x14ac:dyDescent="0.25">
      <c r="A46" s="404">
        <v>4</v>
      </c>
      <c r="B46" s="33"/>
      <c r="C46" s="33"/>
      <c r="F46" s="68" t="str">
        <f>'G-1 All Habitats'!B46</f>
        <v>Lakes - Ponds (priority habitat)</v>
      </c>
      <c r="G46" s="404">
        <v>5</v>
      </c>
      <c r="H46" s="404">
        <v>4</v>
      </c>
      <c r="I46" s="404">
        <v>3</v>
      </c>
      <c r="J46" s="404">
        <v>2</v>
      </c>
      <c r="K46" s="404">
        <v>1</v>
      </c>
      <c r="L46" s="404" t="s">
        <v>1048</v>
      </c>
      <c r="M46" s="404" t="s">
        <v>1048</v>
      </c>
    </row>
    <row r="47" spans="1:13" x14ac:dyDescent="0.25">
      <c r="A47" s="404">
        <v>5</v>
      </c>
      <c r="B47" s="33"/>
      <c r="C47" s="33"/>
      <c r="F47" s="68" t="str">
        <f>'G-1 All Habitats'!B47</f>
        <v>Lakes - Ponds (non-priority habitat)</v>
      </c>
      <c r="G47" s="404">
        <v>5</v>
      </c>
      <c r="H47" s="404">
        <v>4</v>
      </c>
      <c r="I47" s="404">
        <v>3</v>
      </c>
      <c r="J47" s="404">
        <v>2</v>
      </c>
      <c r="K47" s="404">
        <v>1</v>
      </c>
      <c r="L47" s="404" t="s">
        <v>1048</v>
      </c>
      <c r="M47" s="404" t="s">
        <v>1048</v>
      </c>
    </row>
    <row r="48" spans="1:13" x14ac:dyDescent="0.25">
      <c r="A48" s="404">
        <v>6</v>
      </c>
      <c r="B48" s="33"/>
      <c r="C48" s="33"/>
      <c r="F48" s="68" t="str">
        <f>'G-1 All Habitats'!B48</f>
        <v>Lakes - Reservoirs</v>
      </c>
      <c r="G48" s="404">
        <v>10</v>
      </c>
      <c r="H48" s="404">
        <v>7</v>
      </c>
      <c r="I48" s="404">
        <v>5</v>
      </c>
      <c r="J48" s="404">
        <v>3</v>
      </c>
      <c r="K48" s="404">
        <v>1</v>
      </c>
      <c r="L48" s="404" t="s">
        <v>1048</v>
      </c>
      <c r="M48" s="404" t="s">
        <v>1048</v>
      </c>
    </row>
    <row r="49" spans="1:13" x14ac:dyDescent="0.25">
      <c r="A49" s="404">
        <v>7</v>
      </c>
      <c r="B49" s="33"/>
      <c r="C49" s="33"/>
      <c r="F49" s="68" t="str">
        <f>'G-1 All Habitats'!B49</f>
        <v>Lakes - Temporary lakes ponds and pools (H3170)</v>
      </c>
      <c r="G49" s="404">
        <v>5</v>
      </c>
      <c r="H49" s="404">
        <v>4</v>
      </c>
      <c r="I49" s="404">
        <v>3</v>
      </c>
      <c r="J49" s="404">
        <v>2</v>
      </c>
      <c r="K49" s="404">
        <v>1</v>
      </c>
      <c r="L49" s="404" t="s">
        <v>1048</v>
      </c>
      <c r="M49" s="404" t="s">
        <v>1048</v>
      </c>
    </row>
    <row r="50" spans="1:13" x14ac:dyDescent="0.25">
      <c r="A50" s="404">
        <v>8</v>
      </c>
      <c r="B50" s="33"/>
      <c r="C50" s="33"/>
      <c r="F50" s="68" t="str">
        <f>'G-1 All Habitats'!B50</f>
        <v>Sparsely vegetated land - Calaminarian grasslands</v>
      </c>
      <c r="G50" s="404">
        <v>10</v>
      </c>
      <c r="H50" s="404">
        <v>7</v>
      </c>
      <c r="I50" s="404">
        <v>5</v>
      </c>
      <c r="J50" s="404">
        <v>3</v>
      </c>
      <c r="K50" s="404">
        <v>2</v>
      </c>
      <c r="L50" s="404" t="s">
        <v>1048</v>
      </c>
      <c r="M50" s="404" t="s">
        <v>1048</v>
      </c>
    </row>
    <row r="51" spans="1:13" x14ac:dyDescent="0.25">
      <c r="A51" s="404">
        <v>9</v>
      </c>
      <c r="B51" s="33"/>
      <c r="C51" s="33"/>
      <c r="F51" s="68" t="str">
        <f>'G-1 All Habitats'!B51</f>
        <v>Sparsely vegetated land - Coastal sand dunes</v>
      </c>
      <c r="G51" s="404">
        <v>20</v>
      </c>
      <c r="H51" s="404">
        <v>15</v>
      </c>
      <c r="I51" s="404">
        <v>10</v>
      </c>
      <c r="J51" s="404">
        <v>7</v>
      </c>
      <c r="K51" s="404">
        <v>5</v>
      </c>
      <c r="L51" s="404" t="s">
        <v>1048</v>
      </c>
      <c r="M51" s="404" t="s">
        <v>1048</v>
      </c>
    </row>
    <row r="52" spans="1:13" x14ac:dyDescent="0.25">
      <c r="A52" s="404">
        <v>10</v>
      </c>
      <c r="B52" s="33"/>
      <c r="C52" s="33"/>
      <c r="F52" s="68" t="str">
        <f>'G-1 All Habitats'!B52</f>
        <v>Sparsely vegetated land - Coastal vegetated shingle</v>
      </c>
      <c r="G52" s="404">
        <v>20</v>
      </c>
      <c r="H52" s="404">
        <v>15</v>
      </c>
      <c r="I52" s="404">
        <v>10</v>
      </c>
      <c r="J52" s="404">
        <v>7</v>
      </c>
      <c r="K52" s="404">
        <v>5</v>
      </c>
      <c r="L52" s="404" t="s">
        <v>1048</v>
      </c>
      <c r="M52" s="404" t="s">
        <v>1048</v>
      </c>
    </row>
    <row r="53" spans="1:13" x14ac:dyDescent="0.25">
      <c r="A53" s="404">
        <v>11</v>
      </c>
      <c r="B53" s="33"/>
      <c r="C53" s="33"/>
      <c r="F53" s="68" t="str">
        <f>'G-1 All Habitats'!B53</f>
        <v>Sparsely vegetated land - Ruderal/Ephemeral</v>
      </c>
      <c r="G53" s="404">
        <v>5</v>
      </c>
      <c r="H53" s="404">
        <v>4</v>
      </c>
      <c r="I53" s="404">
        <v>3</v>
      </c>
      <c r="J53" s="404">
        <v>2</v>
      </c>
      <c r="K53" s="404">
        <v>1</v>
      </c>
      <c r="L53" s="404" t="s">
        <v>1048</v>
      </c>
      <c r="M53" s="404" t="s">
        <v>1048</v>
      </c>
    </row>
    <row r="54" spans="1:13" x14ac:dyDescent="0.25">
      <c r="A54" s="404">
        <v>12</v>
      </c>
      <c r="B54" s="33"/>
      <c r="C54" s="33"/>
      <c r="F54" s="68" t="s">
        <v>664</v>
      </c>
      <c r="G54" s="404">
        <v>5</v>
      </c>
      <c r="H54" s="404">
        <v>4</v>
      </c>
      <c r="I54" s="404">
        <v>3</v>
      </c>
      <c r="J54" s="404">
        <v>2</v>
      </c>
      <c r="K54" s="404">
        <v>1</v>
      </c>
      <c r="L54" s="404" t="s">
        <v>1048</v>
      </c>
      <c r="M54" s="404" t="s">
        <v>1048</v>
      </c>
    </row>
    <row r="55" spans="1:13" x14ac:dyDescent="0.25">
      <c r="A55" s="404">
        <v>13</v>
      </c>
      <c r="B55" s="33"/>
      <c r="C55" s="33"/>
      <c r="F55" s="68" t="str">
        <f>'G-1 All Habitats'!B55</f>
        <v>Sparsely vegetated land - Inland rock outcrop and scree habitats</v>
      </c>
      <c r="G55" s="404" t="s">
        <v>1049</v>
      </c>
      <c r="H55" s="404">
        <v>25</v>
      </c>
      <c r="I55" s="404">
        <v>20</v>
      </c>
      <c r="J55" s="404">
        <v>15</v>
      </c>
      <c r="K55" s="404">
        <v>10</v>
      </c>
      <c r="L55" s="404" t="s">
        <v>1048</v>
      </c>
      <c r="M55" s="404" t="s">
        <v>1048</v>
      </c>
    </row>
    <row r="56" spans="1:13" x14ac:dyDescent="0.25">
      <c r="A56" s="404">
        <v>14</v>
      </c>
      <c r="B56" s="33"/>
      <c r="C56" s="33"/>
      <c r="F56" s="68" t="str">
        <f>'G-1 All Habitats'!B56</f>
        <v>Sparsely vegetated land - Limestone pavement</v>
      </c>
      <c r="G56" s="404" t="s">
        <v>1049</v>
      </c>
      <c r="H56" s="404" t="s">
        <v>1049</v>
      </c>
      <c r="I56" s="404" t="s">
        <v>1049</v>
      </c>
      <c r="J56" s="404" t="s">
        <v>1049</v>
      </c>
      <c r="K56" s="404" t="s">
        <v>1049</v>
      </c>
      <c r="L56" s="404" t="s">
        <v>1048</v>
      </c>
      <c r="M56" s="404" t="s">
        <v>1048</v>
      </c>
    </row>
    <row r="57" spans="1:13" x14ac:dyDescent="0.25">
      <c r="A57" s="404">
        <v>15</v>
      </c>
      <c r="B57" s="33"/>
      <c r="C57" s="33"/>
      <c r="F57" s="68" t="str">
        <f>'G-1 All Habitats'!B57</f>
        <v>Sparsely vegetated land - Maritime cliff and slopes</v>
      </c>
      <c r="G57" s="404">
        <v>20</v>
      </c>
      <c r="H57" s="404">
        <v>15</v>
      </c>
      <c r="I57" s="404">
        <v>10</v>
      </c>
      <c r="J57" s="404">
        <v>7</v>
      </c>
      <c r="K57" s="404">
        <v>5</v>
      </c>
      <c r="L57" s="404" t="s">
        <v>1048</v>
      </c>
      <c r="M57" s="404" t="s">
        <v>1048</v>
      </c>
    </row>
    <row r="58" spans="1:13" x14ac:dyDescent="0.25">
      <c r="A58" s="404">
        <v>16</v>
      </c>
      <c r="B58" s="33"/>
      <c r="C58" s="33"/>
      <c r="F58" s="68" t="str">
        <f>'G-1 All Habitats'!B58</f>
        <v>Sparsely vegetated land - Other inland rock and scree</v>
      </c>
      <c r="G58" s="404">
        <v>20</v>
      </c>
      <c r="H58" s="404">
        <v>15</v>
      </c>
      <c r="I58" s="404">
        <v>10</v>
      </c>
      <c r="J58" s="404">
        <v>7</v>
      </c>
      <c r="K58" s="404">
        <v>5</v>
      </c>
      <c r="L58" s="404" t="s">
        <v>1048</v>
      </c>
      <c r="M58" s="404" t="s">
        <v>1048</v>
      </c>
    </row>
    <row r="59" spans="1:13" x14ac:dyDescent="0.25">
      <c r="A59" s="404">
        <v>17</v>
      </c>
      <c r="B59" s="33"/>
      <c r="C59" s="33"/>
      <c r="F59" s="68" t="str">
        <f>'G-1 All Habitats'!B59</f>
        <v>Urban - Allotments</v>
      </c>
      <c r="G59" s="404">
        <v>1</v>
      </c>
      <c r="H59" s="404">
        <v>1</v>
      </c>
      <c r="I59" s="404">
        <v>1</v>
      </c>
      <c r="J59" s="404">
        <v>1</v>
      </c>
      <c r="K59" s="404">
        <v>1</v>
      </c>
      <c r="L59" s="404" t="s">
        <v>1048</v>
      </c>
      <c r="M59" s="404" t="s">
        <v>1048</v>
      </c>
    </row>
    <row r="60" spans="1:13" x14ac:dyDescent="0.25">
      <c r="A60" s="404">
        <v>18</v>
      </c>
      <c r="B60" s="33"/>
      <c r="C60" s="33"/>
      <c r="F60" s="68" t="str">
        <f>'G-1 All Habitats'!B40</f>
        <v>Lakes - Ornamental lake or pond</v>
      </c>
      <c r="G60" s="404">
        <v>5</v>
      </c>
      <c r="H60" s="404">
        <v>4</v>
      </c>
      <c r="I60" s="404">
        <v>3</v>
      </c>
      <c r="J60" s="404">
        <v>2</v>
      </c>
      <c r="K60" s="404">
        <v>1</v>
      </c>
      <c r="L60" s="404" t="s">
        <v>1048</v>
      </c>
      <c r="M60" s="404" t="s">
        <v>1048</v>
      </c>
    </row>
    <row r="61" spans="1:13" x14ac:dyDescent="0.25">
      <c r="A61" s="404">
        <v>19</v>
      </c>
      <c r="B61" s="33"/>
      <c r="C61" s="33"/>
      <c r="F61" s="68" t="str">
        <f>'G-1 All Habitats'!B60</f>
        <v>Urban - Artificial unvegetated, unsealed surface</v>
      </c>
      <c r="G61" s="404" t="s">
        <v>1048</v>
      </c>
      <c r="H61" s="404" t="s">
        <v>1048</v>
      </c>
      <c r="I61" s="404" t="s">
        <v>1048</v>
      </c>
      <c r="J61" s="404" t="s">
        <v>1048</v>
      </c>
      <c r="K61" s="404" t="s">
        <v>1048</v>
      </c>
      <c r="L61" s="404" t="s">
        <v>1048</v>
      </c>
      <c r="M61" s="404">
        <v>0</v>
      </c>
    </row>
    <row r="62" spans="1:13" x14ac:dyDescent="0.25">
      <c r="A62" s="404">
        <v>20</v>
      </c>
      <c r="B62" s="33"/>
      <c r="C62" s="33"/>
      <c r="F62" s="68" t="str">
        <f>'G-1 All Habitats'!B61</f>
        <v>Urban - Bioswale</v>
      </c>
      <c r="G62" s="404">
        <v>3</v>
      </c>
      <c r="H62" s="404">
        <v>2</v>
      </c>
      <c r="I62" s="404">
        <v>1</v>
      </c>
      <c r="J62" s="404">
        <v>1</v>
      </c>
      <c r="K62" s="404">
        <v>1</v>
      </c>
      <c r="L62" s="404" t="s">
        <v>1048</v>
      </c>
      <c r="M62" s="404" t="s">
        <v>1048</v>
      </c>
    </row>
    <row r="63" spans="1:13" x14ac:dyDescent="0.25">
      <c r="A63" s="404">
        <v>21</v>
      </c>
      <c r="B63" s="33"/>
      <c r="C63" s="33"/>
      <c r="F63" s="68" t="str">
        <f>'G-1 All Habitats'!B62</f>
        <v>Urban - Intensive green roof</v>
      </c>
      <c r="G63" s="404">
        <v>5</v>
      </c>
      <c r="H63" s="404">
        <v>4</v>
      </c>
      <c r="I63" s="404">
        <v>3</v>
      </c>
      <c r="J63" s="404">
        <v>2</v>
      </c>
      <c r="K63" s="404">
        <v>1</v>
      </c>
      <c r="L63" s="404" t="s">
        <v>1048</v>
      </c>
      <c r="M63" s="404" t="s">
        <v>1048</v>
      </c>
    </row>
    <row r="64" spans="1:13" x14ac:dyDescent="0.25">
      <c r="A64" s="404">
        <v>22</v>
      </c>
      <c r="B64" s="33"/>
      <c r="C64" s="33"/>
      <c r="F64" s="68" t="str">
        <f>'G-1 All Habitats'!B63</f>
        <v>Urban - Built linear features</v>
      </c>
      <c r="G64" s="404" t="s">
        <v>1048</v>
      </c>
      <c r="H64" s="404" t="s">
        <v>1048</v>
      </c>
      <c r="I64" s="404" t="s">
        <v>1048</v>
      </c>
      <c r="J64" s="404" t="s">
        <v>1048</v>
      </c>
      <c r="K64" s="404" t="s">
        <v>1048</v>
      </c>
      <c r="L64" s="404" t="s">
        <v>1048</v>
      </c>
      <c r="M64" s="404">
        <v>0</v>
      </c>
    </row>
    <row r="65" spans="1:13" x14ac:dyDescent="0.25">
      <c r="A65" s="404">
        <v>23</v>
      </c>
      <c r="B65" s="33"/>
      <c r="C65" s="33"/>
      <c r="F65" s="68" t="str">
        <f>'G-1 All Habitats'!B64</f>
        <v>Urban - Cemeteries and churchyards</v>
      </c>
      <c r="G65" s="404">
        <v>20</v>
      </c>
      <c r="H65" s="404">
        <v>17</v>
      </c>
      <c r="I65" s="404">
        <v>15</v>
      </c>
      <c r="J65" s="404">
        <v>12</v>
      </c>
      <c r="K65" s="404">
        <v>10</v>
      </c>
      <c r="L65" s="404" t="s">
        <v>1048</v>
      </c>
      <c r="M65" s="404" t="s">
        <v>1048</v>
      </c>
    </row>
    <row r="66" spans="1:13" x14ac:dyDescent="0.25">
      <c r="A66" s="404">
        <v>24</v>
      </c>
      <c r="B66" s="33"/>
      <c r="C66" s="33"/>
      <c r="F66" s="68" t="str">
        <f>'G-1 All Habitats'!B65</f>
        <v>Urban - Developed land; sealed surface</v>
      </c>
      <c r="G66" s="404" t="s">
        <v>1048</v>
      </c>
      <c r="H66" s="404" t="s">
        <v>1048</v>
      </c>
      <c r="I66" s="404" t="s">
        <v>1048</v>
      </c>
      <c r="J66" s="404" t="s">
        <v>1048</v>
      </c>
      <c r="K66" s="404" t="s">
        <v>1048</v>
      </c>
      <c r="L66" s="404" t="s">
        <v>1048</v>
      </c>
      <c r="M66" s="404">
        <v>0</v>
      </c>
    </row>
    <row r="67" spans="1:13" x14ac:dyDescent="0.25">
      <c r="A67" s="404">
        <v>25</v>
      </c>
      <c r="B67" s="33"/>
      <c r="C67" s="33"/>
      <c r="F67" s="68" t="str">
        <f>'G-1 All Habitats'!B66</f>
        <v>Urban - Other green roof</v>
      </c>
      <c r="G67" s="404" t="s">
        <v>1048</v>
      </c>
      <c r="H67" s="404" t="s">
        <v>1048</v>
      </c>
      <c r="I67" s="404" t="s">
        <v>1048</v>
      </c>
      <c r="J67" s="404" t="s">
        <v>1048</v>
      </c>
      <c r="K67" s="404" t="s">
        <v>1048</v>
      </c>
      <c r="L67" s="404">
        <v>1</v>
      </c>
      <c r="M67" s="404" t="s">
        <v>1048</v>
      </c>
    </row>
    <row r="68" spans="1:13" x14ac:dyDescent="0.25">
      <c r="A68" s="404">
        <v>26</v>
      </c>
      <c r="B68" s="33"/>
      <c r="C68" s="33"/>
      <c r="F68" s="68" t="str">
        <f>'G-1 All Habitats'!B67</f>
        <v>Urban - Facade-bound green wall</v>
      </c>
      <c r="G68" s="404">
        <v>5</v>
      </c>
      <c r="H68" s="404">
        <v>4</v>
      </c>
      <c r="I68" s="404">
        <v>3</v>
      </c>
      <c r="J68" s="404">
        <v>2</v>
      </c>
      <c r="K68" s="404">
        <v>1</v>
      </c>
      <c r="L68" s="404" t="s">
        <v>1048</v>
      </c>
      <c r="M68" s="404" t="s">
        <v>1048</v>
      </c>
    </row>
    <row r="69" spans="1:13" x14ac:dyDescent="0.25">
      <c r="A69" s="404">
        <v>27</v>
      </c>
      <c r="B69" s="33"/>
      <c r="C69" s="33"/>
      <c r="F69" s="68" t="str">
        <f>'G-1 All Habitats'!B68</f>
        <v>Urban - Ground based green wall</v>
      </c>
      <c r="G69" s="404">
        <v>5</v>
      </c>
      <c r="H69" s="404">
        <v>4</v>
      </c>
      <c r="I69" s="404">
        <v>3</v>
      </c>
      <c r="J69" s="404">
        <v>2</v>
      </c>
      <c r="K69" s="404">
        <v>1</v>
      </c>
      <c r="L69" s="404" t="s">
        <v>1048</v>
      </c>
      <c r="M69" s="404" t="s">
        <v>1048</v>
      </c>
    </row>
    <row r="70" spans="1:13" x14ac:dyDescent="0.25">
      <c r="A70" s="404">
        <v>28</v>
      </c>
      <c r="B70" s="33"/>
      <c r="C70" s="33"/>
      <c r="F70" s="68" t="str">
        <f>'G-1 All Habitats'!B69</f>
        <v>Urban - Ground level planters</v>
      </c>
      <c r="G70" s="404" t="s">
        <v>1048</v>
      </c>
      <c r="H70" s="404" t="s">
        <v>1048</v>
      </c>
      <c r="I70" s="404" t="s">
        <v>1048</v>
      </c>
      <c r="J70" s="404" t="s">
        <v>1048</v>
      </c>
      <c r="K70" s="404" t="s">
        <v>1048</v>
      </c>
      <c r="L70" s="404">
        <v>1</v>
      </c>
      <c r="M70" s="404" t="s">
        <v>1048</v>
      </c>
    </row>
    <row r="71" spans="1:13" x14ac:dyDescent="0.25">
      <c r="A71" s="404">
        <v>29</v>
      </c>
      <c r="B71" s="33"/>
      <c r="C71" s="33"/>
      <c r="F71" s="68" t="str">
        <f>'G-1 All Habitats'!B70</f>
        <v>Urban - Biodiverse green roof</v>
      </c>
      <c r="G71" s="404">
        <v>10</v>
      </c>
      <c r="H71" s="404">
        <v>8</v>
      </c>
      <c r="I71" s="404">
        <v>5</v>
      </c>
      <c r="J71" s="404">
        <v>3</v>
      </c>
      <c r="K71" s="404">
        <v>1</v>
      </c>
      <c r="L71" s="404" t="s">
        <v>1048</v>
      </c>
      <c r="M71" s="404" t="s">
        <v>1048</v>
      </c>
    </row>
    <row r="72" spans="1:13" x14ac:dyDescent="0.25">
      <c r="A72" s="404">
        <v>30</v>
      </c>
      <c r="B72" s="33"/>
      <c r="C72" s="33"/>
      <c r="F72" s="68" t="str">
        <f>'G-1 All Habitats'!B71</f>
        <v>Urban - Introduced shrub</v>
      </c>
      <c r="G72" s="404" t="s">
        <v>1048</v>
      </c>
      <c r="H72" s="404" t="s">
        <v>1048</v>
      </c>
      <c r="I72" s="404" t="s">
        <v>1048</v>
      </c>
      <c r="J72" s="404" t="s">
        <v>1048</v>
      </c>
      <c r="K72" s="404" t="s">
        <v>1048</v>
      </c>
      <c r="L72" s="404">
        <v>1</v>
      </c>
      <c r="M72" s="404" t="s">
        <v>1048</v>
      </c>
    </row>
    <row r="73" spans="1:13" x14ac:dyDescent="0.25">
      <c r="A73" s="404" t="s">
        <v>1049</v>
      </c>
      <c r="B73" s="33"/>
      <c r="C73" s="33"/>
      <c r="F73" s="68" t="str">
        <f>'G-1 All Habitats'!B72</f>
        <v>Urban - Open mosaic habitats on previously developed land</v>
      </c>
      <c r="G73" s="404">
        <v>10</v>
      </c>
      <c r="H73" s="404">
        <v>7</v>
      </c>
      <c r="I73" s="404">
        <v>4</v>
      </c>
      <c r="J73" s="404">
        <v>2</v>
      </c>
      <c r="K73" s="404">
        <v>0</v>
      </c>
      <c r="L73" s="404" t="s">
        <v>1048</v>
      </c>
      <c r="M73" s="404" t="s">
        <v>1048</v>
      </c>
    </row>
    <row r="74" spans="1:13" x14ac:dyDescent="0.25">
      <c r="B74" s="33"/>
      <c r="C74" s="33"/>
      <c r="F74" s="68" t="str">
        <f>'G-1 All Habitats'!B73</f>
        <v>Urban - Rain garden</v>
      </c>
      <c r="G74" s="404">
        <v>5</v>
      </c>
      <c r="H74" s="404">
        <v>4</v>
      </c>
      <c r="I74" s="404">
        <v>3</v>
      </c>
      <c r="J74" s="404">
        <v>2</v>
      </c>
      <c r="K74" s="404">
        <v>1</v>
      </c>
      <c r="L74" s="404" t="s">
        <v>1048</v>
      </c>
      <c r="M74" s="404" t="s">
        <v>1048</v>
      </c>
    </row>
    <row r="75" spans="1:13" x14ac:dyDescent="0.25">
      <c r="A75" s="33"/>
      <c r="B75" s="33"/>
      <c r="C75" s="33"/>
      <c r="F75" s="68" t="str">
        <f>'G-1 All Habitats'!B74</f>
        <v>Urban - Actively worked sand pit quarry or open cast mine</v>
      </c>
      <c r="G75" s="404" t="s">
        <v>1048</v>
      </c>
      <c r="H75" s="404" t="s">
        <v>1048</v>
      </c>
      <c r="I75" s="404" t="s">
        <v>1048</v>
      </c>
      <c r="J75" s="404" t="s">
        <v>1048</v>
      </c>
      <c r="K75" s="404" t="s">
        <v>1048</v>
      </c>
      <c r="L75" s="404">
        <v>1</v>
      </c>
      <c r="M75" s="404" t="s">
        <v>1048</v>
      </c>
    </row>
    <row r="76" spans="1:13" x14ac:dyDescent="0.25">
      <c r="A76" s="33"/>
      <c r="B76" s="33"/>
      <c r="C76" s="33"/>
      <c r="F76" s="68" t="str">
        <f>'G-1 All Habitats'!B80</f>
        <v>Individual trees - Urban tree</v>
      </c>
      <c r="G76" s="404" t="s">
        <v>1049</v>
      </c>
      <c r="H76" s="404" t="s">
        <v>1049</v>
      </c>
      <c r="I76" s="404">
        <v>27</v>
      </c>
      <c r="J76" s="404">
        <v>19</v>
      </c>
      <c r="K76" s="404">
        <v>10</v>
      </c>
      <c r="L76" s="404" t="s">
        <v>1048</v>
      </c>
      <c r="M76" s="404" t="s">
        <v>1048</v>
      </c>
    </row>
    <row r="77" spans="1:13" x14ac:dyDescent="0.25">
      <c r="A77" s="33"/>
      <c r="B77" s="33"/>
      <c r="C77" s="33"/>
      <c r="F77" s="68" t="str">
        <f>'G-1 All Habitats'!B75</f>
        <v>Urban - Sustainable drainage system</v>
      </c>
      <c r="G77" s="404">
        <v>5</v>
      </c>
      <c r="H77" s="404">
        <v>4</v>
      </c>
      <c r="I77" s="404">
        <v>3</v>
      </c>
      <c r="J77" s="404">
        <v>2</v>
      </c>
      <c r="K77" s="404">
        <v>1</v>
      </c>
      <c r="L77" s="404" t="s">
        <v>1048</v>
      </c>
      <c r="M77" s="404" t="s">
        <v>1048</v>
      </c>
    </row>
    <row r="78" spans="1:13" x14ac:dyDescent="0.25">
      <c r="A78" s="33"/>
      <c r="B78" s="33"/>
      <c r="C78" s="33"/>
      <c r="F78" s="68" t="str">
        <f>'G-1 All Habitats'!B76</f>
        <v>Urban - Unvegetated garden</v>
      </c>
      <c r="G78" s="404" t="s">
        <v>1048</v>
      </c>
      <c r="H78" s="404" t="s">
        <v>1048</v>
      </c>
      <c r="I78" s="404" t="s">
        <v>1048</v>
      </c>
      <c r="J78" s="404" t="s">
        <v>1048</v>
      </c>
      <c r="K78" s="404" t="s">
        <v>1048</v>
      </c>
      <c r="L78" s="404" t="s">
        <v>1048</v>
      </c>
      <c r="M78" s="404">
        <v>0</v>
      </c>
    </row>
    <row r="79" spans="1:13" x14ac:dyDescent="0.25">
      <c r="A79" s="33"/>
      <c r="B79" s="33"/>
      <c r="C79" s="33"/>
      <c r="F79" s="68" t="str">
        <f>'G-1 All Habitats'!B77</f>
        <v>Urban - Vacant or derelict land</v>
      </c>
      <c r="G79" s="404">
        <v>5</v>
      </c>
      <c r="H79" s="404">
        <v>4</v>
      </c>
      <c r="I79" s="404">
        <v>3</v>
      </c>
      <c r="J79" s="404">
        <v>2</v>
      </c>
      <c r="K79" s="404">
        <v>1</v>
      </c>
      <c r="L79" s="404" t="s">
        <v>1048</v>
      </c>
      <c r="M79" s="404" t="s">
        <v>1048</v>
      </c>
    </row>
    <row r="80" spans="1:13" x14ac:dyDescent="0.25">
      <c r="A80" s="33"/>
      <c r="B80" s="33"/>
      <c r="C80" s="33"/>
      <c r="F80" s="68" t="s">
        <v>735</v>
      </c>
      <c r="G80" s="404">
        <v>5</v>
      </c>
      <c r="H80" s="404">
        <v>4</v>
      </c>
      <c r="I80" s="404">
        <v>3</v>
      </c>
      <c r="J80" s="404">
        <v>2</v>
      </c>
      <c r="K80" s="404">
        <v>1</v>
      </c>
      <c r="L80" s="404" t="s">
        <v>1048</v>
      </c>
      <c r="M80" s="404" t="s">
        <v>1048</v>
      </c>
    </row>
    <row r="81" spans="1:13" x14ac:dyDescent="0.25">
      <c r="A81" s="33"/>
      <c r="B81" s="33"/>
      <c r="C81" s="33"/>
      <c r="F81" s="68" t="str">
        <f>'G-1 All Habitats'!B79</f>
        <v>Urban - Vegetated garden</v>
      </c>
      <c r="G81" s="404" t="s">
        <v>1048</v>
      </c>
      <c r="H81" s="404" t="s">
        <v>1048</v>
      </c>
      <c r="I81" s="404" t="s">
        <v>1048</v>
      </c>
      <c r="J81" s="404" t="s">
        <v>1048</v>
      </c>
      <c r="K81" s="404" t="s">
        <v>1048</v>
      </c>
      <c r="L81" s="404">
        <v>1</v>
      </c>
      <c r="M81" s="404" t="s">
        <v>1048</v>
      </c>
    </row>
    <row r="82" spans="1:13" x14ac:dyDescent="0.25">
      <c r="A82" s="33"/>
      <c r="B82" s="33"/>
      <c r="C82" s="33"/>
      <c r="F82" s="68" t="str">
        <f>'G-1 All Habitats'!B82</f>
        <v>Wetland - Blanket bog</v>
      </c>
      <c r="G82" s="404" t="s">
        <v>1049</v>
      </c>
      <c r="H82" s="404" t="s">
        <v>1049</v>
      </c>
      <c r="I82" s="404" t="s">
        <v>1049</v>
      </c>
      <c r="J82" s="404" t="s">
        <v>1049</v>
      </c>
      <c r="K82" s="404" t="s">
        <v>1049</v>
      </c>
      <c r="L82" s="404" t="s">
        <v>1048</v>
      </c>
      <c r="M82" s="404" t="s">
        <v>1048</v>
      </c>
    </row>
    <row r="83" spans="1:13" x14ac:dyDescent="0.25">
      <c r="A83" s="33"/>
      <c r="B83" s="33"/>
      <c r="C83" s="33"/>
      <c r="F83" s="68" t="str">
        <f>'G-1 All Habitats'!B83</f>
        <v>Wetland - Depressions on peat substrates (H7150)</v>
      </c>
      <c r="G83" s="404" t="s">
        <v>1049</v>
      </c>
      <c r="H83" s="404" t="s">
        <v>1049</v>
      </c>
      <c r="I83" s="404">
        <v>30</v>
      </c>
      <c r="J83" s="404">
        <v>25</v>
      </c>
      <c r="K83" s="404">
        <v>15</v>
      </c>
      <c r="L83" s="404" t="s">
        <v>1048</v>
      </c>
      <c r="M83" s="404" t="s">
        <v>1048</v>
      </c>
    </row>
    <row r="84" spans="1:13" x14ac:dyDescent="0.25">
      <c r="A84" s="33"/>
      <c r="B84" s="33"/>
      <c r="C84" s="33"/>
      <c r="F84" s="68" t="str">
        <f>'G-1 All Habitats'!B84</f>
        <v>Wetland - Fens (upland and lowland)</v>
      </c>
      <c r="G84" s="404">
        <v>30</v>
      </c>
      <c r="H84" s="404">
        <v>25</v>
      </c>
      <c r="I84" s="404">
        <v>20</v>
      </c>
      <c r="J84" s="404">
        <v>15</v>
      </c>
      <c r="K84" s="404">
        <v>10</v>
      </c>
      <c r="L84" s="404" t="s">
        <v>1048</v>
      </c>
      <c r="M84" s="404" t="s">
        <v>1048</v>
      </c>
    </row>
    <row r="85" spans="1:13" x14ac:dyDescent="0.25">
      <c r="A85" s="33"/>
      <c r="B85" s="33"/>
      <c r="C85" s="33"/>
      <c r="F85" s="68" t="str">
        <f>'G-1 All Habitats'!B85</f>
        <v>Wetland - Lowland raised bog</v>
      </c>
      <c r="G85" s="404" t="s">
        <v>1049</v>
      </c>
      <c r="H85" s="404" t="s">
        <v>1049</v>
      </c>
      <c r="I85" s="404">
        <v>30</v>
      </c>
      <c r="J85" s="404">
        <v>20</v>
      </c>
      <c r="K85" s="404">
        <v>15</v>
      </c>
      <c r="L85" s="404" t="s">
        <v>1048</v>
      </c>
      <c r="M85" s="404" t="s">
        <v>1048</v>
      </c>
    </row>
    <row r="86" spans="1:13" x14ac:dyDescent="0.25">
      <c r="A86" s="33"/>
      <c r="B86" s="33"/>
      <c r="C86" s="33"/>
      <c r="F86" s="68" t="str">
        <f>'G-1 All Habitats'!B86</f>
        <v>Wetland - Oceanic valley mire[1] (D2.1)</v>
      </c>
      <c r="G86" s="404" t="s">
        <v>1049</v>
      </c>
      <c r="H86" s="404" t="s">
        <v>1049</v>
      </c>
      <c r="I86" s="404">
        <v>30</v>
      </c>
      <c r="J86" s="404">
        <v>20</v>
      </c>
      <c r="K86" s="404">
        <v>15</v>
      </c>
      <c r="L86" s="404" t="s">
        <v>1048</v>
      </c>
      <c r="M86" s="404" t="s">
        <v>1048</v>
      </c>
    </row>
    <row r="87" spans="1:13" x14ac:dyDescent="0.25">
      <c r="A87" s="33"/>
      <c r="B87" s="33"/>
      <c r="C87" s="33"/>
      <c r="F87" s="68" t="str">
        <f>'G-1 All Habitats'!B87</f>
        <v>Wetland - Purple moor grass and rush pastures</v>
      </c>
      <c r="G87" s="404">
        <v>30</v>
      </c>
      <c r="H87" s="404">
        <v>25</v>
      </c>
      <c r="I87" s="404">
        <v>20</v>
      </c>
      <c r="J87" s="404">
        <v>15</v>
      </c>
      <c r="K87" s="404">
        <v>10</v>
      </c>
      <c r="L87" s="404" t="s">
        <v>1048</v>
      </c>
      <c r="M87" s="404" t="s">
        <v>1048</v>
      </c>
    </row>
    <row r="88" spans="1:13" x14ac:dyDescent="0.25">
      <c r="A88" s="33"/>
      <c r="B88" s="33"/>
      <c r="C88" s="33"/>
      <c r="F88" s="68" t="str">
        <f>'G-1 All Habitats'!B88</f>
        <v>Wetland - Reedbeds</v>
      </c>
      <c r="G88" s="404">
        <v>12</v>
      </c>
      <c r="H88" s="404">
        <v>10</v>
      </c>
      <c r="I88" s="404">
        <v>7</v>
      </c>
      <c r="J88" s="404">
        <v>5</v>
      </c>
      <c r="K88" s="404">
        <v>3</v>
      </c>
      <c r="L88" s="404" t="s">
        <v>1048</v>
      </c>
      <c r="M88" s="404" t="s">
        <v>1048</v>
      </c>
    </row>
    <row r="89" spans="1:13" x14ac:dyDescent="0.25">
      <c r="A89" s="33"/>
      <c r="B89" s="33"/>
      <c r="C89" s="33"/>
      <c r="F89" s="68" t="str">
        <f>'G-1 All Habitats'!B89</f>
        <v>Wetland - Transition mires and quaking bogs (H7140)</v>
      </c>
      <c r="G89" s="404" t="s">
        <v>1049</v>
      </c>
      <c r="H89" s="404" t="s">
        <v>1049</v>
      </c>
      <c r="I89" s="404">
        <v>30</v>
      </c>
      <c r="J89" s="404">
        <v>25</v>
      </c>
      <c r="K89" s="404">
        <v>15</v>
      </c>
      <c r="L89" s="404" t="s">
        <v>1048</v>
      </c>
      <c r="M89" s="404" t="s">
        <v>1048</v>
      </c>
    </row>
    <row r="90" spans="1:13" x14ac:dyDescent="0.25">
      <c r="A90" s="33"/>
      <c r="B90" s="33"/>
      <c r="C90" s="33"/>
      <c r="F90" s="68" t="str">
        <f>'G-1 All Habitats'!B90</f>
        <v>Woodland and forest - Felled</v>
      </c>
      <c r="G90" s="404" t="s">
        <v>1049</v>
      </c>
      <c r="H90" s="404" t="s">
        <v>1048</v>
      </c>
      <c r="I90" s="404" t="s">
        <v>1048</v>
      </c>
      <c r="J90" s="404" t="s">
        <v>1048</v>
      </c>
      <c r="K90" s="404" t="s">
        <v>1048</v>
      </c>
      <c r="L90" s="404" t="s">
        <v>1048</v>
      </c>
      <c r="M90" s="404" t="s">
        <v>1048</v>
      </c>
    </row>
    <row r="91" spans="1:13" x14ac:dyDescent="0.25">
      <c r="A91" s="33"/>
      <c r="B91" s="33"/>
      <c r="C91" s="33"/>
      <c r="F91" s="68" t="str">
        <f>'G-1 All Habitats'!B91</f>
        <v>Woodland and forest - Lowland beech and yew woodland</v>
      </c>
      <c r="G91" s="404" t="s">
        <v>1049</v>
      </c>
      <c r="H91" s="404" t="s">
        <v>1049</v>
      </c>
      <c r="I91" s="404" t="s">
        <v>1049</v>
      </c>
      <c r="J91" s="404">
        <v>25</v>
      </c>
      <c r="K91" s="404">
        <v>10</v>
      </c>
      <c r="L91" s="404" t="s">
        <v>1048</v>
      </c>
      <c r="M91" s="404" t="s">
        <v>1048</v>
      </c>
    </row>
    <row r="92" spans="1:13" x14ac:dyDescent="0.25">
      <c r="A92" s="33"/>
      <c r="B92" s="33"/>
      <c r="C92" s="33"/>
      <c r="F92" s="68" t="str">
        <f>'G-1 All Habitats'!B92</f>
        <v>Woodland and forest - Lowland mixed deciduous woodland</v>
      </c>
      <c r="G92" s="404" t="s">
        <v>1049</v>
      </c>
      <c r="H92" s="404" t="s">
        <v>1049</v>
      </c>
      <c r="I92" s="404" t="s">
        <v>1049</v>
      </c>
      <c r="J92" s="404">
        <v>25</v>
      </c>
      <c r="K92" s="404">
        <v>10</v>
      </c>
      <c r="L92" s="404" t="s">
        <v>1048</v>
      </c>
      <c r="M92" s="404" t="s">
        <v>1048</v>
      </c>
    </row>
    <row r="93" spans="1:13" x14ac:dyDescent="0.25">
      <c r="A93" s="33"/>
      <c r="B93" s="33"/>
      <c r="C93" s="33"/>
      <c r="F93" s="68" t="str">
        <f>'G-1 All Habitats'!B93</f>
        <v>Woodland and forest - Native pine woodlands</v>
      </c>
      <c r="G93" s="404" t="s">
        <v>1049</v>
      </c>
      <c r="H93" s="404" t="s">
        <v>1049</v>
      </c>
      <c r="I93" s="404" t="s">
        <v>1049</v>
      </c>
      <c r="J93" s="404">
        <v>25</v>
      </c>
      <c r="K93" s="404">
        <v>10</v>
      </c>
      <c r="L93" s="404" t="s">
        <v>1048</v>
      </c>
      <c r="M93" s="404" t="s">
        <v>1048</v>
      </c>
    </row>
    <row r="94" spans="1:13" x14ac:dyDescent="0.25">
      <c r="A94" s="33"/>
      <c r="B94" s="33"/>
      <c r="C94" s="33"/>
      <c r="F94" s="68" t="str">
        <f>'G-1 All Habitats'!B94</f>
        <v>Woodland and forest - Other coniferous woodland</v>
      </c>
      <c r="G94" s="404" t="s">
        <v>1049</v>
      </c>
      <c r="H94" s="404" t="s">
        <v>1049</v>
      </c>
      <c r="I94" s="404">
        <v>30</v>
      </c>
      <c r="J94" s="404">
        <v>10</v>
      </c>
      <c r="K94" s="404">
        <v>5</v>
      </c>
      <c r="L94" s="404" t="s">
        <v>1048</v>
      </c>
      <c r="M94" s="404" t="s">
        <v>1048</v>
      </c>
    </row>
    <row r="95" spans="1:13" x14ac:dyDescent="0.25">
      <c r="A95" s="33"/>
      <c r="B95" s="33"/>
      <c r="C95" s="33"/>
      <c r="F95" s="68" t="str">
        <f>'G-1 All Habitats'!B95</f>
        <v>Woodland and forest - Other Scot's pine woodland</v>
      </c>
      <c r="G95" s="404" t="s">
        <v>1049</v>
      </c>
      <c r="H95" s="404" t="s">
        <v>1049</v>
      </c>
      <c r="I95" s="404" t="s">
        <v>1049</v>
      </c>
      <c r="J95" s="404">
        <v>25</v>
      </c>
      <c r="K95" s="404">
        <v>10</v>
      </c>
      <c r="L95" s="404" t="s">
        <v>1048</v>
      </c>
      <c r="M95" s="404" t="s">
        <v>1048</v>
      </c>
    </row>
    <row r="96" spans="1:13" x14ac:dyDescent="0.25">
      <c r="A96" s="33"/>
      <c r="B96" s="33"/>
      <c r="C96" s="33"/>
      <c r="F96" s="68" t="str">
        <f>'G-1 All Habitats'!B96</f>
        <v>Woodland and forest - Other woodland; broadleaved</v>
      </c>
      <c r="G96" s="404" t="s">
        <v>1049</v>
      </c>
      <c r="H96" s="404">
        <v>25</v>
      </c>
      <c r="I96" s="404">
        <v>15</v>
      </c>
      <c r="J96" s="404">
        <v>7</v>
      </c>
      <c r="K96" s="404">
        <v>5</v>
      </c>
      <c r="L96" s="404" t="s">
        <v>1048</v>
      </c>
      <c r="M96" s="404" t="s">
        <v>1048</v>
      </c>
    </row>
    <row r="97" spans="1:13" x14ac:dyDescent="0.25">
      <c r="A97" s="33"/>
      <c r="B97" s="33"/>
      <c r="C97" s="33"/>
      <c r="F97" s="68" t="str">
        <f>'G-1 All Habitats'!B97</f>
        <v>Woodland and forest - Other woodland; mixed</v>
      </c>
      <c r="G97" s="404" t="s">
        <v>1049</v>
      </c>
      <c r="H97" s="404" t="s">
        <v>1049</v>
      </c>
      <c r="I97" s="404">
        <v>30</v>
      </c>
      <c r="J97" s="404">
        <v>10</v>
      </c>
      <c r="K97" s="404">
        <v>5</v>
      </c>
      <c r="L97" s="404" t="s">
        <v>1048</v>
      </c>
      <c r="M97" s="404" t="s">
        <v>1048</v>
      </c>
    </row>
    <row r="98" spans="1:13" x14ac:dyDescent="0.25">
      <c r="A98" s="33"/>
      <c r="B98" s="33"/>
      <c r="C98" s="33"/>
      <c r="F98" s="68" t="str">
        <f>'G-1 All Habitats'!B98</f>
        <v>Woodland and forest - Upland birchwoods</v>
      </c>
      <c r="G98" s="404" t="s">
        <v>1049</v>
      </c>
      <c r="H98" s="404">
        <v>30</v>
      </c>
      <c r="I98" s="404">
        <v>25</v>
      </c>
      <c r="J98" s="404">
        <v>20</v>
      </c>
      <c r="K98" s="404">
        <v>10</v>
      </c>
      <c r="L98" s="404" t="s">
        <v>1048</v>
      </c>
      <c r="M98" s="404" t="s">
        <v>1048</v>
      </c>
    </row>
    <row r="99" spans="1:13" x14ac:dyDescent="0.25">
      <c r="A99" s="33"/>
      <c r="B99" s="33"/>
      <c r="C99" s="33"/>
      <c r="F99" s="68" t="str">
        <f>'G-1 All Habitats'!B99</f>
        <v>Woodland and forest - Upland mixed ashwoods</v>
      </c>
      <c r="G99" s="404" t="s">
        <v>1049</v>
      </c>
      <c r="H99" s="404" t="s">
        <v>1049</v>
      </c>
      <c r="I99" s="404" t="s">
        <v>1049</v>
      </c>
      <c r="J99" s="404">
        <v>25</v>
      </c>
      <c r="K99" s="404">
        <v>10</v>
      </c>
      <c r="L99" s="404" t="s">
        <v>1048</v>
      </c>
      <c r="M99" s="404" t="s">
        <v>1048</v>
      </c>
    </row>
    <row r="100" spans="1:13" x14ac:dyDescent="0.25">
      <c r="A100" s="33"/>
      <c r="B100" s="33"/>
      <c r="C100" s="33"/>
      <c r="F100" s="68" t="str">
        <f>'G-1 All Habitats'!B100</f>
        <v>Woodland and forest - Upland oakwood</v>
      </c>
      <c r="G100" s="404" t="s">
        <v>1049</v>
      </c>
      <c r="H100" s="404" t="s">
        <v>1049</v>
      </c>
      <c r="I100" s="404" t="s">
        <v>1049</v>
      </c>
      <c r="J100" s="404">
        <v>25</v>
      </c>
      <c r="K100" s="404">
        <v>10</v>
      </c>
      <c r="L100" s="404" t="s">
        <v>1048</v>
      </c>
      <c r="M100" s="404" t="s">
        <v>1048</v>
      </c>
    </row>
    <row r="101" spans="1:13" x14ac:dyDescent="0.25">
      <c r="A101" s="33"/>
      <c r="B101" s="33"/>
      <c r="C101" s="33"/>
      <c r="F101" s="68" t="str">
        <f>'G-1 All Habitats'!B101</f>
        <v>Woodland and forest - Wet woodland</v>
      </c>
      <c r="G101" s="404" t="s">
        <v>1049</v>
      </c>
      <c r="H101" s="404">
        <v>30</v>
      </c>
      <c r="I101" s="404">
        <v>15</v>
      </c>
      <c r="J101" s="404">
        <v>10</v>
      </c>
      <c r="K101" s="404">
        <v>5</v>
      </c>
      <c r="L101" s="404" t="s">
        <v>1048</v>
      </c>
      <c r="M101" s="404" t="s">
        <v>1048</v>
      </c>
    </row>
    <row r="102" spans="1:13" x14ac:dyDescent="0.25">
      <c r="F102" s="68" t="str">
        <f>'G-1 All Habitats'!B102</f>
        <v>Woodland and forest - Wood-pasture and parkland</v>
      </c>
      <c r="G102" s="404" t="s">
        <v>1049</v>
      </c>
      <c r="H102" s="404" t="s">
        <v>1049</v>
      </c>
      <c r="I102" s="404" t="s">
        <v>1049</v>
      </c>
      <c r="J102" s="404">
        <v>25</v>
      </c>
      <c r="K102" s="404">
        <v>10</v>
      </c>
      <c r="L102" s="404" t="s">
        <v>1048</v>
      </c>
      <c r="M102" s="404" t="s">
        <v>1048</v>
      </c>
    </row>
    <row r="103" spans="1:13" x14ac:dyDescent="0.25">
      <c r="F103" s="68" t="str">
        <f>'G-1 All Habitats'!B103</f>
        <v>Coastal lagoons - Coastal lagoons</v>
      </c>
      <c r="G103" s="404">
        <v>10</v>
      </c>
      <c r="H103" s="404">
        <v>8</v>
      </c>
      <c r="I103" s="404">
        <v>5</v>
      </c>
      <c r="J103" s="404">
        <v>3</v>
      </c>
      <c r="K103" s="404">
        <v>1</v>
      </c>
      <c r="L103" s="404" t="s">
        <v>1048</v>
      </c>
      <c r="M103" s="404" t="s">
        <v>1048</v>
      </c>
    </row>
    <row r="104" spans="1:13" x14ac:dyDescent="0.25">
      <c r="F104" s="68" t="str">
        <f>'G-1 All Habitats'!B104</f>
        <v>Rocky shore - High energy littoral rock</v>
      </c>
      <c r="G104" s="404">
        <v>10</v>
      </c>
      <c r="H104" s="404">
        <v>7</v>
      </c>
      <c r="I104" s="404">
        <v>4</v>
      </c>
      <c r="J104" s="404">
        <v>2</v>
      </c>
      <c r="K104" s="404">
        <v>1</v>
      </c>
      <c r="L104" s="404" t="s">
        <v>1048</v>
      </c>
      <c r="M104" s="404" t="s">
        <v>1048</v>
      </c>
    </row>
    <row r="105" spans="1:13" x14ac:dyDescent="0.25">
      <c r="F105" s="68" t="str">
        <f>'G-1 All Habitats'!B105</f>
        <v>Rocky shore - High energy littoral rock - on peat, clay or chalk</v>
      </c>
      <c r="G105" s="404" t="s">
        <v>1049</v>
      </c>
      <c r="H105" s="404" t="s">
        <v>1049</v>
      </c>
      <c r="I105" s="404" t="s">
        <v>1049</v>
      </c>
      <c r="J105" s="404" t="s">
        <v>1049</v>
      </c>
      <c r="K105" s="404" t="s">
        <v>1049</v>
      </c>
      <c r="L105" s="404" t="s">
        <v>1048</v>
      </c>
      <c r="M105" s="404" t="s">
        <v>1048</v>
      </c>
    </row>
    <row r="106" spans="1:13" x14ac:dyDescent="0.25">
      <c r="F106" s="68" t="str">
        <f>'G-1 All Habitats'!B106</f>
        <v>Rocky shore - Moderate energy littoral rock</v>
      </c>
      <c r="G106" s="404">
        <v>13</v>
      </c>
      <c r="H106" s="404">
        <v>8</v>
      </c>
      <c r="I106" s="404">
        <v>4</v>
      </c>
      <c r="J106" s="404">
        <v>2</v>
      </c>
      <c r="K106" s="404">
        <v>1</v>
      </c>
      <c r="L106" s="404" t="s">
        <v>1048</v>
      </c>
      <c r="M106" s="404" t="s">
        <v>1048</v>
      </c>
    </row>
    <row r="107" spans="1:13" x14ac:dyDescent="0.25">
      <c r="F107" s="68" t="str">
        <f>'G-1 All Habitats'!B107</f>
        <v>Rocky shore - Moderate energy littoral rock - on peat, clay or chalk</v>
      </c>
      <c r="G107" s="404" t="s">
        <v>1049</v>
      </c>
      <c r="H107" s="404" t="s">
        <v>1049</v>
      </c>
      <c r="I107" s="404" t="s">
        <v>1049</v>
      </c>
      <c r="J107" s="404" t="s">
        <v>1049</v>
      </c>
      <c r="K107" s="404" t="s">
        <v>1049</v>
      </c>
      <c r="L107" s="404" t="s">
        <v>1048</v>
      </c>
      <c r="M107" s="404" t="s">
        <v>1048</v>
      </c>
    </row>
    <row r="108" spans="1:13" x14ac:dyDescent="0.25">
      <c r="F108" s="68" t="str">
        <f>'G-1 All Habitats'!B108</f>
        <v>Rocky shore - Low energy littoral rock</v>
      </c>
      <c r="G108" s="404">
        <v>15</v>
      </c>
      <c r="H108" s="404">
        <v>10</v>
      </c>
      <c r="I108" s="404">
        <v>5</v>
      </c>
      <c r="J108" s="404">
        <v>1</v>
      </c>
      <c r="K108" s="404">
        <v>1</v>
      </c>
      <c r="L108" s="404" t="s">
        <v>1048</v>
      </c>
      <c r="M108" s="404" t="s">
        <v>1048</v>
      </c>
    </row>
    <row r="109" spans="1:13" x14ac:dyDescent="0.25">
      <c r="F109" s="68" t="str">
        <f>'G-1 All Habitats'!B109</f>
        <v>Rocky shore - Low energy littoral rock - on peat, clay or chalk</v>
      </c>
      <c r="G109" s="404" t="s">
        <v>1049</v>
      </c>
      <c r="H109" s="404" t="s">
        <v>1049</v>
      </c>
      <c r="I109" s="404" t="s">
        <v>1049</v>
      </c>
      <c r="J109" s="404" t="s">
        <v>1049</v>
      </c>
      <c r="K109" s="404" t="s">
        <v>1049</v>
      </c>
      <c r="L109" s="404" t="s">
        <v>1048</v>
      </c>
      <c r="M109" s="404" t="s">
        <v>1048</v>
      </c>
    </row>
    <row r="110" spans="1:13" x14ac:dyDescent="0.25">
      <c r="F110" s="68" t="str">
        <f>'G-1 All Habitats'!B110</f>
        <v>Rocky shore - Features of littoral rock</v>
      </c>
      <c r="G110" s="404">
        <v>13</v>
      </c>
      <c r="H110" s="404">
        <v>8</v>
      </c>
      <c r="I110" s="404">
        <v>4</v>
      </c>
      <c r="J110" s="404">
        <v>2</v>
      </c>
      <c r="K110" s="404">
        <v>1</v>
      </c>
      <c r="L110" s="404" t="s">
        <v>1048</v>
      </c>
      <c r="M110" s="404" t="s">
        <v>1048</v>
      </c>
    </row>
    <row r="111" spans="1:13" x14ac:dyDescent="0.25">
      <c r="F111" s="68" t="str">
        <f>'G-1 All Habitats'!B111</f>
        <v>Rocky shore - Features of littoral rock - on peat, clay or chalk</v>
      </c>
      <c r="G111" s="404" t="s">
        <v>1049</v>
      </c>
      <c r="H111" s="404" t="s">
        <v>1049</v>
      </c>
      <c r="I111" s="404" t="s">
        <v>1049</v>
      </c>
      <c r="J111" s="404" t="s">
        <v>1049</v>
      </c>
      <c r="K111" s="404" t="s">
        <v>1049</v>
      </c>
      <c r="L111" s="404" t="s">
        <v>1048</v>
      </c>
      <c r="M111" s="404" t="s">
        <v>1048</v>
      </c>
    </row>
    <row r="112" spans="1:13" x14ac:dyDescent="0.25">
      <c r="F112" s="68" t="str">
        <f>'G-1 All Habitats'!B114</f>
        <v>Intertidal sediment - Littoral coarse sediment</v>
      </c>
      <c r="G112" s="404">
        <v>3</v>
      </c>
      <c r="H112" s="404">
        <v>2</v>
      </c>
      <c r="I112" s="404">
        <v>1</v>
      </c>
      <c r="J112" s="404">
        <v>1</v>
      </c>
      <c r="K112" s="404">
        <v>1</v>
      </c>
      <c r="L112" s="404" t="s">
        <v>1048</v>
      </c>
      <c r="M112" s="404" t="s">
        <v>1048</v>
      </c>
    </row>
    <row r="113" spans="6:13" x14ac:dyDescent="0.25">
      <c r="F113" s="68" t="str">
        <f>'G-1 All Habitats'!B115</f>
        <v>Intertidal sediment - Littoral mud</v>
      </c>
      <c r="G113" s="404">
        <v>6</v>
      </c>
      <c r="H113" s="404">
        <v>4</v>
      </c>
      <c r="I113" s="404">
        <v>3</v>
      </c>
      <c r="J113" s="404">
        <v>2</v>
      </c>
      <c r="K113" s="404">
        <v>1</v>
      </c>
      <c r="L113" s="404" t="s">
        <v>1048</v>
      </c>
      <c r="M113" s="404" t="s">
        <v>1048</v>
      </c>
    </row>
    <row r="114" spans="6:13" x14ac:dyDescent="0.25">
      <c r="F114" s="68" t="str">
        <f>'G-1 All Habitats'!B116</f>
        <v>Intertidal sediment - Littoral mixed sediments</v>
      </c>
      <c r="G114" s="404">
        <v>5</v>
      </c>
      <c r="H114" s="404">
        <v>4</v>
      </c>
      <c r="I114" s="404">
        <v>3</v>
      </c>
      <c r="J114" s="404">
        <v>2</v>
      </c>
      <c r="K114" s="404">
        <v>1</v>
      </c>
      <c r="L114" s="404" t="s">
        <v>1048</v>
      </c>
      <c r="M114" s="404" t="s">
        <v>1048</v>
      </c>
    </row>
    <row r="115" spans="6:13" x14ac:dyDescent="0.25">
      <c r="F115" s="68" t="str">
        <f>'G-1 All Habitats'!B112</f>
        <v>Coastal saltmarsh - Saltmarshes and saline reedbeds</v>
      </c>
      <c r="G115" s="404">
        <v>15</v>
      </c>
      <c r="H115" s="404">
        <v>10</v>
      </c>
      <c r="I115" s="404">
        <v>7</v>
      </c>
      <c r="J115" s="404">
        <v>3</v>
      </c>
      <c r="K115" s="404">
        <v>1</v>
      </c>
      <c r="L115" s="404" t="s">
        <v>1048</v>
      </c>
      <c r="M115" s="404" t="s">
        <v>1048</v>
      </c>
    </row>
    <row r="116" spans="6:13" x14ac:dyDescent="0.25">
      <c r="F116" s="68" t="str">
        <f>'G-1 All Habitats'!B113</f>
        <v>Coastal saltmarsh - Artificial saltmarshes and saline reedbeds</v>
      </c>
      <c r="G116" s="404">
        <v>15</v>
      </c>
      <c r="H116" s="404">
        <v>10</v>
      </c>
      <c r="I116" s="404">
        <v>7</v>
      </c>
      <c r="J116" s="404">
        <v>3</v>
      </c>
      <c r="K116" s="404">
        <v>1</v>
      </c>
      <c r="L116" s="404" t="s">
        <v>1048</v>
      </c>
      <c r="M116" s="404" t="s">
        <v>1048</v>
      </c>
    </row>
    <row r="117" spans="6:13" x14ac:dyDescent="0.25">
      <c r="F117" s="68" t="str">
        <f>'G-1 All Habitats'!B117</f>
        <v>Intertidal sediment - Littoral seagrass</v>
      </c>
      <c r="G117" s="404">
        <v>20</v>
      </c>
      <c r="H117" s="404">
        <v>15</v>
      </c>
      <c r="I117" s="404">
        <v>10</v>
      </c>
      <c r="J117" s="404">
        <v>5</v>
      </c>
      <c r="K117" s="404">
        <v>2</v>
      </c>
      <c r="L117" s="404" t="s">
        <v>1048</v>
      </c>
      <c r="M117" s="404" t="s">
        <v>1048</v>
      </c>
    </row>
    <row r="118" spans="6:13" x14ac:dyDescent="0.25">
      <c r="F118" s="68" t="str">
        <f>'G-1 All Habitats'!B118</f>
        <v>Intertidal sediment - Littoral seagrass on peat, clay or chalk</v>
      </c>
      <c r="G118" s="404" t="s">
        <v>1049</v>
      </c>
      <c r="H118" s="404" t="s">
        <v>1049</v>
      </c>
      <c r="I118" s="404" t="s">
        <v>1049</v>
      </c>
      <c r="J118" s="404" t="s">
        <v>1049</v>
      </c>
      <c r="K118" s="404" t="s">
        <v>1049</v>
      </c>
      <c r="L118" s="404" t="s">
        <v>1048</v>
      </c>
      <c r="M118" s="404" t="s">
        <v>1048</v>
      </c>
    </row>
    <row r="119" spans="6:13" x14ac:dyDescent="0.25">
      <c r="F119" s="68" t="str">
        <f>'G-1 All Habitats'!B119</f>
        <v>Intertidal sediment - Littoral biogenic reefs - Mussels</v>
      </c>
      <c r="G119" s="404">
        <v>15</v>
      </c>
      <c r="H119" s="404">
        <v>10</v>
      </c>
      <c r="I119" s="404">
        <v>5</v>
      </c>
      <c r="J119" s="404">
        <v>3</v>
      </c>
      <c r="K119" s="404">
        <v>3</v>
      </c>
      <c r="L119" s="404" t="s">
        <v>1048</v>
      </c>
      <c r="M119" s="404" t="s">
        <v>1048</v>
      </c>
    </row>
    <row r="120" spans="6:13" x14ac:dyDescent="0.25">
      <c r="F120" s="68" t="str">
        <f>'G-1 All Habitats'!B120</f>
        <v>Intertidal sediment - Littoral biogenic reefs - Sabellaria</v>
      </c>
      <c r="G120" s="404">
        <v>15</v>
      </c>
      <c r="H120" s="404">
        <v>10</v>
      </c>
      <c r="I120" s="404">
        <v>5</v>
      </c>
      <c r="J120" s="404">
        <v>3</v>
      </c>
      <c r="K120" s="404">
        <v>3</v>
      </c>
      <c r="L120" s="404" t="s">
        <v>1048</v>
      </c>
      <c r="M120" s="404" t="s">
        <v>1048</v>
      </c>
    </row>
    <row r="121" spans="6:13" x14ac:dyDescent="0.25">
      <c r="F121" s="68" t="str">
        <f>'G-1 All Habitats'!B121</f>
        <v>Intertidal sediment - Features of littoral sediment</v>
      </c>
      <c r="G121" s="404">
        <v>10</v>
      </c>
      <c r="H121" s="404">
        <v>7</v>
      </c>
      <c r="I121" s="404">
        <v>5</v>
      </c>
      <c r="J121" s="404">
        <v>3</v>
      </c>
      <c r="K121" s="404">
        <v>3</v>
      </c>
      <c r="L121" s="404" t="s">
        <v>1048</v>
      </c>
      <c r="M121" s="404" t="s">
        <v>1048</v>
      </c>
    </row>
    <row r="122" spans="6:13" x14ac:dyDescent="0.25">
      <c r="F122" s="68" t="str">
        <f>'G-1 All Habitats'!B122</f>
        <v>Intertidal sediment - Artificial littoral coarse sediment</v>
      </c>
      <c r="G122" s="404">
        <v>3</v>
      </c>
      <c r="H122" s="404">
        <v>2</v>
      </c>
      <c r="I122" s="404">
        <v>1</v>
      </c>
      <c r="J122" s="404">
        <v>1</v>
      </c>
      <c r="K122" s="404">
        <v>1</v>
      </c>
      <c r="L122" s="404" t="s">
        <v>1048</v>
      </c>
      <c r="M122" s="404" t="s">
        <v>1048</v>
      </c>
    </row>
    <row r="123" spans="6:13" x14ac:dyDescent="0.25">
      <c r="F123" s="68" t="str">
        <f>'G-1 All Habitats'!B123</f>
        <v>Intertidal sediment - Artificial littoral mud</v>
      </c>
      <c r="G123" s="404">
        <v>6</v>
      </c>
      <c r="H123" s="404">
        <v>4</v>
      </c>
      <c r="I123" s="404">
        <v>3</v>
      </c>
      <c r="J123" s="404">
        <v>2</v>
      </c>
      <c r="K123" s="404">
        <v>1</v>
      </c>
      <c r="L123" s="404" t="s">
        <v>1048</v>
      </c>
      <c r="M123" s="404" t="s">
        <v>1048</v>
      </c>
    </row>
    <row r="124" spans="6:13" x14ac:dyDescent="0.25">
      <c r="F124" s="68" t="str">
        <f>'G-1 All Habitats'!B124</f>
        <v>Intertidal sediment - Artificial littoral sand</v>
      </c>
      <c r="G124" s="404">
        <v>4</v>
      </c>
      <c r="H124" s="404">
        <v>2</v>
      </c>
      <c r="I124" s="404">
        <v>1</v>
      </c>
      <c r="J124" s="404">
        <v>1</v>
      </c>
      <c r="K124" s="404">
        <v>1</v>
      </c>
      <c r="L124" s="404" t="s">
        <v>1048</v>
      </c>
      <c r="M124" s="404" t="s">
        <v>1048</v>
      </c>
    </row>
    <row r="125" spans="6:13" x14ac:dyDescent="0.25">
      <c r="F125" s="68" t="str">
        <f>'G-1 All Habitats'!B125</f>
        <v>Intertidal sediment - Artificial littoral muddy sand</v>
      </c>
      <c r="G125" s="404">
        <v>5</v>
      </c>
      <c r="H125" s="404">
        <v>4</v>
      </c>
      <c r="I125" s="404">
        <v>3</v>
      </c>
      <c r="J125" s="404">
        <v>2</v>
      </c>
      <c r="K125" s="404">
        <v>1</v>
      </c>
      <c r="L125" s="404" t="s">
        <v>1048</v>
      </c>
      <c r="M125" s="404" t="s">
        <v>1048</v>
      </c>
    </row>
    <row r="126" spans="6:13" x14ac:dyDescent="0.25">
      <c r="F126" s="68" t="str">
        <f>'G-1 All Habitats'!B126</f>
        <v>Intertidal sediment - Artificial littoral mixed sediments</v>
      </c>
      <c r="G126" s="404">
        <v>5</v>
      </c>
      <c r="H126" s="404">
        <v>4</v>
      </c>
      <c r="I126" s="404">
        <v>3</v>
      </c>
      <c r="J126" s="404">
        <v>2</v>
      </c>
      <c r="K126" s="404">
        <v>1</v>
      </c>
      <c r="L126" s="404" t="s">
        <v>1048</v>
      </c>
      <c r="M126" s="404" t="s">
        <v>1048</v>
      </c>
    </row>
    <row r="127" spans="6:13" x14ac:dyDescent="0.25">
      <c r="F127" s="68" t="str">
        <f>'G-1 All Habitats'!B127</f>
        <v>Intertidal sediment - Artificial littoral seagrass</v>
      </c>
      <c r="G127" s="404">
        <v>20</v>
      </c>
      <c r="H127" s="404">
        <v>15</v>
      </c>
      <c r="I127" s="404">
        <v>10</v>
      </c>
      <c r="J127" s="404">
        <v>5</v>
      </c>
      <c r="K127" s="404">
        <v>2</v>
      </c>
      <c r="L127" s="404" t="s">
        <v>1048</v>
      </c>
      <c r="M127" s="404" t="s">
        <v>1048</v>
      </c>
    </row>
    <row r="128" spans="6:13" x14ac:dyDescent="0.25">
      <c r="F128" s="68" t="str">
        <f>'G-1 All Habitats'!B128</f>
        <v>Intertidal sediment - Artificial littoral biogenic reefs</v>
      </c>
      <c r="G128" s="404">
        <v>15</v>
      </c>
      <c r="H128" s="404">
        <v>10</v>
      </c>
      <c r="I128" s="404">
        <v>5</v>
      </c>
      <c r="J128" s="404">
        <v>3</v>
      </c>
      <c r="K128" s="404">
        <v>3</v>
      </c>
      <c r="L128" s="404" t="s">
        <v>1048</v>
      </c>
      <c r="M128" s="404" t="s">
        <v>1048</v>
      </c>
    </row>
    <row r="129" spans="6:13" x14ac:dyDescent="0.25">
      <c r="F129" s="68" t="str">
        <f>'G-1 All Habitats'!B129</f>
        <v>Intertidal sediment - Littoral sand</v>
      </c>
      <c r="G129" s="404">
        <v>4</v>
      </c>
      <c r="H129" s="404">
        <v>2</v>
      </c>
      <c r="I129" s="404">
        <v>1</v>
      </c>
      <c r="J129" s="404">
        <v>1</v>
      </c>
      <c r="K129" s="404">
        <v>1</v>
      </c>
      <c r="L129" s="404" t="s">
        <v>1048</v>
      </c>
      <c r="M129" s="404" t="s">
        <v>1048</v>
      </c>
    </row>
    <row r="130" spans="6:13" x14ac:dyDescent="0.25">
      <c r="F130" s="68" t="str">
        <f>'G-1 All Habitats'!B130</f>
        <v>Intertidal sediment - Littoral muddy sand</v>
      </c>
      <c r="G130" s="404">
        <v>5</v>
      </c>
      <c r="H130" s="404">
        <v>4</v>
      </c>
      <c r="I130" s="404">
        <v>3</v>
      </c>
      <c r="J130" s="404">
        <v>2</v>
      </c>
      <c r="K130" s="404">
        <v>1</v>
      </c>
      <c r="L130" s="404" t="s">
        <v>1048</v>
      </c>
      <c r="M130" s="404" t="s">
        <v>1048</v>
      </c>
    </row>
    <row r="131" spans="6:13" x14ac:dyDescent="0.25">
      <c r="F131" s="68" t="str">
        <f>'G-1 All Habitats'!B131</f>
        <v>Intertidal hard structures - Artificial hard structures</v>
      </c>
      <c r="G131" s="404">
        <v>15</v>
      </c>
      <c r="H131" s="404">
        <v>10</v>
      </c>
      <c r="I131" s="404">
        <v>5</v>
      </c>
      <c r="J131" s="404">
        <v>2</v>
      </c>
      <c r="K131" s="404">
        <v>1</v>
      </c>
      <c r="L131" s="404" t="s">
        <v>1048</v>
      </c>
      <c r="M131" s="404" t="s">
        <v>1048</v>
      </c>
    </row>
    <row r="132" spans="6:13" x14ac:dyDescent="0.25">
      <c r="F132" s="68" t="str">
        <f>'G-1 All Habitats'!B132</f>
        <v>Intertidal hard structures - Artificial features of hard structures</v>
      </c>
      <c r="G132" s="404">
        <v>13</v>
      </c>
      <c r="H132" s="404">
        <v>8</v>
      </c>
      <c r="I132" s="404">
        <v>4</v>
      </c>
      <c r="J132" s="404">
        <v>2</v>
      </c>
      <c r="K132" s="404">
        <v>1</v>
      </c>
      <c r="L132" s="404" t="s">
        <v>1048</v>
      </c>
      <c r="M132" s="404" t="s">
        <v>1048</v>
      </c>
    </row>
    <row r="133" spans="6:13" x14ac:dyDescent="0.25">
      <c r="F133" s="68" t="str">
        <f>'G-1 All Habitats'!B133</f>
        <v>Intertidal hard structures - Artificial hard structures with integrated greening of grey infrastructure (IGGI)</v>
      </c>
      <c r="G133" s="404">
        <v>13</v>
      </c>
      <c r="H133" s="404">
        <v>8</v>
      </c>
      <c r="I133" s="404">
        <v>4</v>
      </c>
      <c r="J133" s="404">
        <v>2</v>
      </c>
      <c r="K133" s="404">
        <v>1</v>
      </c>
      <c r="L133" s="404" t="s">
        <v>1048</v>
      </c>
      <c r="M133" s="404" t="s">
        <v>1048</v>
      </c>
    </row>
    <row r="134" spans="6:13" x14ac:dyDescent="0.25">
      <c r="F134" s="68" t="str">
        <f>'G-1 All Habitats'!B134</f>
        <v>Watercourse footprint - Watercourse footprint</v>
      </c>
      <c r="G134" s="404" t="s">
        <v>1048</v>
      </c>
      <c r="H134" s="404" t="s">
        <v>1048</v>
      </c>
      <c r="I134" s="404" t="s">
        <v>1048</v>
      </c>
      <c r="J134" s="404" t="s">
        <v>1048</v>
      </c>
      <c r="K134" s="404" t="s">
        <v>1048</v>
      </c>
      <c r="L134" s="404" t="s">
        <v>1048</v>
      </c>
      <c r="M134" s="404">
        <v>0</v>
      </c>
    </row>
    <row r="135" spans="6:13" x14ac:dyDescent="0.25">
      <c r="F135" s="68" t="str">
        <f>'G-1 All Habitats'!B81</f>
        <v>Individual trees - Rural tree</v>
      </c>
      <c r="G135" s="404" t="s">
        <v>1049</v>
      </c>
      <c r="H135" s="404" t="s">
        <v>1049</v>
      </c>
      <c r="I135" s="404">
        <v>27</v>
      </c>
      <c r="J135" s="404">
        <v>19</v>
      </c>
      <c r="K135" s="404">
        <v>10</v>
      </c>
      <c r="L135" s="404" t="s">
        <v>1048</v>
      </c>
      <c r="M135" s="404" t="s">
        <v>1048</v>
      </c>
    </row>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row r="150" x14ac:dyDescent="0.25"/>
    <row r="151" x14ac:dyDescent="0.25"/>
    <row r="152" x14ac:dyDescent="0.25"/>
    <row r="153" x14ac:dyDescent="0.25"/>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3.8" zeroHeight="1" x14ac:dyDescent="0.25"/>
  <cols>
    <col min="1" max="1" width="3.5546875" style="30" customWidth="1"/>
    <col min="2" max="2" width="3.21875" style="30" customWidth="1"/>
    <col min="3" max="3" width="88.77734375" style="30" bestFit="1" customWidth="1"/>
    <col min="4" max="4" width="18" style="33" customWidth="1"/>
    <col min="5" max="5" width="21.5546875" style="33" customWidth="1"/>
    <col min="6" max="6" width="17.77734375" style="33" customWidth="1"/>
    <col min="7" max="8" width="18.77734375" style="33" customWidth="1"/>
    <col min="9" max="9" width="17.77734375" style="33" customWidth="1"/>
    <col min="10" max="14" width="17.44140625" style="33" customWidth="1"/>
    <col min="15" max="15" width="14.44140625" style="33" bestFit="1" customWidth="1"/>
    <col min="16" max="16" width="12.77734375" style="33" bestFit="1" customWidth="1"/>
    <col min="17" max="21" width="14.44140625" style="33" bestFit="1" customWidth="1"/>
    <col min="22" max="22" width="14.21875" style="33" bestFit="1" customWidth="1"/>
    <col min="23" max="23" width="13.21875" style="33" bestFit="1" customWidth="1"/>
    <col min="24" max="24" width="14.44140625" style="33" bestFit="1" customWidth="1"/>
    <col min="25" max="25" width="12.77734375" style="33" bestFit="1" customWidth="1"/>
    <col min="26" max="26" width="11.77734375" style="33" customWidth="1"/>
    <col min="27" max="30" width="11.77734375" style="30" customWidth="1"/>
    <col min="31" max="40" width="11.77734375" style="30" hidden="1" customWidth="1"/>
    <col min="41" max="16384" width="9.21875" style="30" hidden="1"/>
  </cols>
  <sheetData>
    <row r="1" spans="3:25" ht="33.6" customHeight="1" x14ac:dyDescent="0.25">
      <c r="D1" s="30"/>
      <c r="E1" s="30"/>
      <c r="F1" s="30"/>
      <c r="G1" s="30"/>
      <c r="H1" s="30"/>
      <c r="I1" s="30"/>
      <c r="J1" s="30"/>
      <c r="K1" s="30"/>
      <c r="L1" s="30"/>
      <c r="M1" s="30"/>
      <c r="N1" s="30"/>
      <c r="O1" s="30"/>
      <c r="P1" s="30"/>
      <c r="Q1" s="30"/>
      <c r="R1" s="30"/>
      <c r="S1" s="30"/>
      <c r="T1" s="30"/>
      <c r="U1" s="30"/>
      <c r="V1" s="30"/>
      <c r="W1" s="30"/>
      <c r="X1" s="30"/>
      <c r="Y1" s="30"/>
    </row>
    <row r="2" spans="3:25" ht="41.4" x14ac:dyDescent="0.25">
      <c r="C2" s="226" t="s">
        <v>1051</v>
      </c>
      <c r="D2" s="80" t="s">
        <v>1052</v>
      </c>
      <c r="E2" s="80" t="s">
        <v>1052</v>
      </c>
      <c r="F2" s="80" t="s">
        <v>1052</v>
      </c>
      <c r="G2" s="80" t="s">
        <v>1052</v>
      </c>
      <c r="H2" s="80" t="s">
        <v>1052</v>
      </c>
      <c r="I2" s="80" t="s">
        <v>1052</v>
      </c>
      <c r="J2" s="80" t="s">
        <v>1052</v>
      </c>
      <c r="K2" s="80" t="s">
        <v>492</v>
      </c>
      <c r="L2" s="80" t="s">
        <v>492</v>
      </c>
      <c r="M2" s="80" t="s">
        <v>492</v>
      </c>
      <c r="N2" s="80" t="s">
        <v>492</v>
      </c>
      <c r="O2" s="80" t="s">
        <v>328</v>
      </c>
      <c r="P2" s="80" t="s">
        <v>328</v>
      </c>
      <c r="Q2" s="80" t="s">
        <v>328</v>
      </c>
      <c r="R2" s="80" t="s">
        <v>328</v>
      </c>
      <c r="S2" s="80" t="s">
        <v>482</v>
      </c>
      <c r="T2" s="80" t="s">
        <v>482</v>
      </c>
      <c r="U2" s="80" t="s">
        <v>482</v>
      </c>
      <c r="V2" s="80" t="s">
        <v>67</v>
      </c>
      <c r="W2" s="80" t="s">
        <v>67</v>
      </c>
      <c r="X2" s="80" t="s">
        <v>472</v>
      </c>
      <c r="Y2" s="80" t="s">
        <v>68</v>
      </c>
    </row>
    <row r="3" spans="3:25" ht="29.55" customHeight="1" x14ac:dyDescent="0.25">
      <c r="C3" s="226" t="s">
        <v>1053</v>
      </c>
      <c r="D3" s="80" t="s">
        <v>496</v>
      </c>
      <c r="E3" s="80" t="s">
        <v>492</v>
      </c>
      <c r="F3" s="80" t="s">
        <v>328</v>
      </c>
      <c r="G3" s="80" t="s">
        <v>482</v>
      </c>
      <c r="H3" s="80" t="s">
        <v>67</v>
      </c>
      <c r="I3" s="80" t="s">
        <v>472</v>
      </c>
      <c r="J3" s="80" t="s">
        <v>68</v>
      </c>
      <c r="K3" s="80" t="s">
        <v>482</v>
      </c>
      <c r="L3" s="80" t="s">
        <v>67</v>
      </c>
      <c r="M3" s="80" t="s">
        <v>472</v>
      </c>
      <c r="N3" s="80" t="s">
        <v>68</v>
      </c>
      <c r="O3" s="80" t="s">
        <v>482</v>
      </c>
      <c r="P3" s="80" t="s">
        <v>67</v>
      </c>
      <c r="Q3" s="80" t="s">
        <v>472</v>
      </c>
      <c r="R3" s="80" t="s">
        <v>68</v>
      </c>
      <c r="S3" s="80" t="s">
        <v>67</v>
      </c>
      <c r="T3" s="80" t="s">
        <v>472</v>
      </c>
      <c r="U3" s="80" t="s">
        <v>68</v>
      </c>
      <c r="V3" s="80" t="s">
        <v>472</v>
      </c>
      <c r="W3" s="80" t="s">
        <v>68</v>
      </c>
      <c r="X3" s="80" t="s">
        <v>68</v>
      </c>
      <c r="Y3" s="80" t="s">
        <v>68</v>
      </c>
    </row>
    <row r="4" spans="3:25" ht="72" customHeight="1" x14ac:dyDescent="0.25">
      <c r="C4" s="226" t="s">
        <v>338</v>
      </c>
      <c r="D4" s="78" t="s">
        <v>1054</v>
      </c>
      <c r="E4" s="78" t="s">
        <v>1055</v>
      </c>
      <c r="F4" s="78" t="s">
        <v>1056</v>
      </c>
      <c r="G4" s="78" t="s">
        <v>1057</v>
      </c>
      <c r="H4" s="78" t="s">
        <v>1058</v>
      </c>
      <c r="I4" s="78" t="s">
        <v>1059</v>
      </c>
      <c r="J4" s="78" t="s">
        <v>1060</v>
      </c>
      <c r="K4" s="78" t="s">
        <v>1061</v>
      </c>
      <c r="L4" s="78" t="s">
        <v>1062</v>
      </c>
      <c r="M4" s="78" t="s">
        <v>1063</v>
      </c>
      <c r="N4" s="78" t="s">
        <v>1064</v>
      </c>
      <c r="O4" s="78" t="s">
        <v>1065</v>
      </c>
      <c r="P4" s="78" t="s">
        <v>1066</v>
      </c>
      <c r="Q4" s="78" t="s">
        <v>1067</v>
      </c>
      <c r="R4" s="78" t="s">
        <v>1068</v>
      </c>
      <c r="S4" s="78" t="s">
        <v>1069</v>
      </c>
      <c r="T4" s="78" t="s">
        <v>1070</v>
      </c>
      <c r="U4" s="78" t="s">
        <v>1071</v>
      </c>
      <c r="V4" s="78" t="s">
        <v>1072</v>
      </c>
      <c r="W4" s="78" t="s">
        <v>1073</v>
      </c>
      <c r="X4" s="78" t="s">
        <v>1074</v>
      </c>
      <c r="Y4" s="78" t="s">
        <v>1075</v>
      </c>
    </row>
    <row r="5" spans="3:25" x14ac:dyDescent="0.25">
      <c r="C5" s="68" t="str">
        <f>'G-1 All Habitats'!B3</f>
        <v>Cropland - Arable field margins cultivated annually</v>
      </c>
      <c r="D5" s="404" t="s">
        <v>1048</v>
      </c>
      <c r="E5" s="404">
        <v>1</v>
      </c>
      <c r="F5" s="404" t="s">
        <v>1048</v>
      </c>
      <c r="G5" s="404" t="s">
        <v>1048</v>
      </c>
      <c r="H5" s="404" t="s">
        <v>1048</v>
      </c>
      <c r="I5" s="404" t="s">
        <v>1048</v>
      </c>
      <c r="J5" s="404" t="s">
        <v>1048</v>
      </c>
      <c r="K5" s="404" t="s">
        <v>1048</v>
      </c>
      <c r="L5" s="404" t="s">
        <v>1048</v>
      </c>
      <c r="M5" s="404" t="s">
        <v>1048</v>
      </c>
      <c r="N5" s="404" t="s">
        <v>1048</v>
      </c>
      <c r="O5" s="404" t="s">
        <v>1048</v>
      </c>
      <c r="P5" s="404" t="s">
        <v>1048</v>
      </c>
      <c r="Q5" s="404" t="s">
        <v>1048</v>
      </c>
      <c r="R5" s="404" t="s">
        <v>1048</v>
      </c>
      <c r="S5" s="404" t="s">
        <v>1048</v>
      </c>
      <c r="T5" s="404" t="s">
        <v>1048</v>
      </c>
      <c r="U5" s="404" t="s">
        <v>1048</v>
      </c>
      <c r="V5" s="404" t="s">
        <v>1048</v>
      </c>
      <c r="W5" s="404" t="s">
        <v>1048</v>
      </c>
      <c r="X5" s="404" t="s">
        <v>1048</v>
      </c>
      <c r="Y5" s="404" t="s">
        <v>1048</v>
      </c>
    </row>
    <row r="6" spans="3:25" x14ac:dyDescent="0.25">
      <c r="C6" s="68" t="str">
        <f>'G-1 All Habitats'!B4</f>
        <v>Cropland - Arable field margins game bird mix</v>
      </c>
      <c r="D6" s="404" t="s">
        <v>1048</v>
      </c>
      <c r="E6" s="404">
        <v>1</v>
      </c>
      <c r="F6" s="404" t="s">
        <v>1048</v>
      </c>
      <c r="G6" s="404" t="s">
        <v>1048</v>
      </c>
      <c r="H6" s="404" t="s">
        <v>1048</v>
      </c>
      <c r="I6" s="404" t="s">
        <v>1048</v>
      </c>
      <c r="J6" s="404" t="s">
        <v>1048</v>
      </c>
      <c r="K6" s="404" t="s">
        <v>1048</v>
      </c>
      <c r="L6" s="404" t="s">
        <v>1048</v>
      </c>
      <c r="M6" s="404" t="s">
        <v>1048</v>
      </c>
      <c r="N6" s="404" t="s">
        <v>1048</v>
      </c>
      <c r="O6" s="404" t="s">
        <v>1048</v>
      </c>
      <c r="P6" s="404" t="s">
        <v>1048</v>
      </c>
      <c r="Q6" s="404" t="s">
        <v>1048</v>
      </c>
      <c r="R6" s="404" t="s">
        <v>1048</v>
      </c>
      <c r="S6" s="404" t="s">
        <v>1048</v>
      </c>
      <c r="T6" s="404" t="s">
        <v>1048</v>
      </c>
      <c r="U6" s="404" t="s">
        <v>1048</v>
      </c>
      <c r="V6" s="404" t="s">
        <v>1048</v>
      </c>
      <c r="W6" s="404" t="s">
        <v>1048</v>
      </c>
      <c r="X6" s="404" t="s">
        <v>1048</v>
      </c>
      <c r="Y6" s="404" t="s">
        <v>1048</v>
      </c>
    </row>
    <row r="7" spans="3:25" x14ac:dyDescent="0.25">
      <c r="C7" s="68" t="str">
        <f>'G-1 All Habitats'!B5</f>
        <v>Cropland - Arable field margins pollen and nectar</v>
      </c>
      <c r="D7" s="404" t="s">
        <v>1048</v>
      </c>
      <c r="E7" s="404">
        <v>1</v>
      </c>
      <c r="F7" s="404" t="s">
        <v>1048</v>
      </c>
      <c r="G7" s="404" t="s">
        <v>1048</v>
      </c>
      <c r="H7" s="404" t="s">
        <v>1048</v>
      </c>
      <c r="I7" s="404" t="s">
        <v>1048</v>
      </c>
      <c r="J7" s="404" t="s">
        <v>1048</v>
      </c>
      <c r="K7" s="404" t="s">
        <v>1048</v>
      </c>
      <c r="L7" s="404" t="s">
        <v>1048</v>
      </c>
      <c r="M7" s="404" t="s">
        <v>1048</v>
      </c>
      <c r="N7" s="404" t="s">
        <v>1048</v>
      </c>
      <c r="O7" s="404" t="s">
        <v>1048</v>
      </c>
      <c r="P7" s="404" t="s">
        <v>1048</v>
      </c>
      <c r="Q7" s="404" t="s">
        <v>1048</v>
      </c>
      <c r="R7" s="404" t="s">
        <v>1048</v>
      </c>
      <c r="S7" s="404" t="s">
        <v>1048</v>
      </c>
      <c r="T7" s="404" t="s">
        <v>1048</v>
      </c>
      <c r="U7" s="404" t="s">
        <v>1048</v>
      </c>
      <c r="V7" s="404" t="s">
        <v>1048</v>
      </c>
      <c r="W7" s="404" t="s">
        <v>1048</v>
      </c>
      <c r="X7" s="404" t="s">
        <v>1048</v>
      </c>
      <c r="Y7" s="404" t="s">
        <v>1048</v>
      </c>
    </row>
    <row r="8" spans="3:25" x14ac:dyDescent="0.25">
      <c r="C8" s="68" t="str">
        <f>'G-1 All Habitats'!B6</f>
        <v>Cropland - Arable field margins tussocky</v>
      </c>
      <c r="D8" s="404" t="s">
        <v>1048</v>
      </c>
      <c r="E8" s="404">
        <v>1</v>
      </c>
      <c r="F8" s="404" t="s">
        <v>1048</v>
      </c>
      <c r="G8" s="404" t="s">
        <v>1048</v>
      </c>
      <c r="H8" s="404" t="s">
        <v>1048</v>
      </c>
      <c r="I8" s="404" t="s">
        <v>1048</v>
      </c>
      <c r="J8" s="404" t="s">
        <v>1048</v>
      </c>
      <c r="K8" s="404" t="s">
        <v>1048</v>
      </c>
      <c r="L8" s="404" t="s">
        <v>1048</v>
      </c>
      <c r="M8" s="404" t="s">
        <v>1048</v>
      </c>
      <c r="N8" s="404" t="s">
        <v>1048</v>
      </c>
      <c r="O8" s="404" t="s">
        <v>1048</v>
      </c>
      <c r="P8" s="404" t="s">
        <v>1048</v>
      </c>
      <c r="Q8" s="404" t="s">
        <v>1048</v>
      </c>
      <c r="R8" s="404" t="s">
        <v>1048</v>
      </c>
      <c r="S8" s="404" t="s">
        <v>1048</v>
      </c>
      <c r="T8" s="404" t="s">
        <v>1048</v>
      </c>
      <c r="U8" s="404" t="s">
        <v>1048</v>
      </c>
      <c r="V8" s="404" t="s">
        <v>1048</v>
      </c>
      <c r="W8" s="404" t="s">
        <v>1048</v>
      </c>
      <c r="X8" s="404" t="s">
        <v>1048</v>
      </c>
      <c r="Y8" s="404" t="s">
        <v>1048</v>
      </c>
    </row>
    <row r="9" spans="3:25" x14ac:dyDescent="0.25">
      <c r="C9" s="68" t="str">
        <f>'G-1 All Habitats'!B7</f>
        <v>Cropland - Cereal crops</v>
      </c>
      <c r="D9" s="404" t="s">
        <v>1048</v>
      </c>
      <c r="E9" s="404" t="s">
        <v>1048</v>
      </c>
      <c r="F9" s="404" t="s">
        <v>1048</v>
      </c>
      <c r="G9" s="404" t="s">
        <v>1048</v>
      </c>
      <c r="H9" s="404" t="s">
        <v>1048</v>
      </c>
      <c r="I9" s="404" t="s">
        <v>1048</v>
      </c>
      <c r="J9" s="404" t="s">
        <v>1048</v>
      </c>
      <c r="K9" s="404" t="s">
        <v>1048</v>
      </c>
      <c r="L9" s="404" t="s">
        <v>1048</v>
      </c>
      <c r="M9" s="404" t="s">
        <v>1048</v>
      </c>
      <c r="N9" s="404" t="s">
        <v>1048</v>
      </c>
      <c r="O9" s="404" t="s">
        <v>1048</v>
      </c>
      <c r="P9" s="404" t="s">
        <v>1048</v>
      </c>
      <c r="Q9" s="404" t="s">
        <v>1048</v>
      </c>
      <c r="R9" s="404" t="s">
        <v>1048</v>
      </c>
      <c r="S9" s="404" t="s">
        <v>1048</v>
      </c>
      <c r="T9" s="404" t="s">
        <v>1048</v>
      </c>
      <c r="U9" s="404" t="s">
        <v>1048</v>
      </c>
      <c r="V9" s="404" t="s">
        <v>1048</v>
      </c>
      <c r="W9" s="404" t="s">
        <v>1048</v>
      </c>
      <c r="X9" s="404" t="s">
        <v>1048</v>
      </c>
      <c r="Y9" s="404" t="s">
        <v>1048</v>
      </c>
    </row>
    <row r="10" spans="3:25" x14ac:dyDescent="0.25">
      <c r="C10" s="68" t="str">
        <f>'G-1 All Habitats'!B8</f>
        <v>Cropland - Winter stubble</v>
      </c>
      <c r="D10" s="404" t="s">
        <v>1048</v>
      </c>
      <c r="E10" s="404" t="s">
        <v>1048</v>
      </c>
      <c r="F10" s="404" t="s">
        <v>1048</v>
      </c>
      <c r="G10" s="404" t="s">
        <v>1048</v>
      </c>
      <c r="H10" s="404" t="s">
        <v>1048</v>
      </c>
      <c r="I10" s="404" t="s">
        <v>1048</v>
      </c>
      <c r="J10" s="404" t="s">
        <v>1048</v>
      </c>
      <c r="K10" s="404" t="s">
        <v>1048</v>
      </c>
      <c r="L10" s="404" t="s">
        <v>1048</v>
      </c>
      <c r="M10" s="404" t="s">
        <v>1048</v>
      </c>
      <c r="N10" s="404" t="s">
        <v>1048</v>
      </c>
      <c r="O10" s="404" t="s">
        <v>1048</v>
      </c>
      <c r="P10" s="404" t="s">
        <v>1048</v>
      </c>
      <c r="Q10" s="404" t="s">
        <v>1048</v>
      </c>
      <c r="R10" s="404" t="s">
        <v>1048</v>
      </c>
      <c r="S10" s="404" t="s">
        <v>1048</v>
      </c>
      <c r="T10" s="404" t="s">
        <v>1048</v>
      </c>
      <c r="U10" s="404" t="s">
        <v>1048</v>
      </c>
      <c r="V10" s="404" t="s">
        <v>1048</v>
      </c>
      <c r="W10" s="404" t="s">
        <v>1048</v>
      </c>
      <c r="X10" s="404" t="s">
        <v>1048</v>
      </c>
      <c r="Y10" s="404" t="s">
        <v>1048</v>
      </c>
    </row>
    <row r="11" spans="3:25" x14ac:dyDescent="0.25">
      <c r="C11" s="68" t="str">
        <f>'G-1 All Habitats'!B9</f>
        <v>Cropland - Horticulture</v>
      </c>
      <c r="D11" s="404" t="s">
        <v>1048</v>
      </c>
      <c r="E11" s="404" t="s">
        <v>1048</v>
      </c>
      <c r="F11" s="404" t="s">
        <v>1048</v>
      </c>
      <c r="G11" s="404" t="s">
        <v>1048</v>
      </c>
      <c r="H11" s="404" t="s">
        <v>1048</v>
      </c>
      <c r="I11" s="404" t="s">
        <v>1048</v>
      </c>
      <c r="J11" s="404" t="s">
        <v>1048</v>
      </c>
      <c r="K11" s="404" t="s">
        <v>1048</v>
      </c>
      <c r="L11" s="404" t="s">
        <v>1048</v>
      </c>
      <c r="M11" s="404" t="s">
        <v>1048</v>
      </c>
      <c r="N11" s="404" t="s">
        <v>1048</v>
      </c>
      <c r="O11" s="404" t="s">
        <v>1048</v>
      </c>
      <c r="P11" s="404" t="s">
        <v>1048</v>
      </c>
      <c r="Q11" s="404" t="s">
        <v>1048</v>
      </c>
      <c r="R11" s="404" t="s">
        <v>1048</v>
      </c>
      <c r="S11" s="404" t="s">
        <v>1048</v>
      </c>
      <c r="T11" s="404" t="s">
        <v>1048</v>
      </c>
      <c r="U11" s="404" t="s">
        <v>1048</v>
      </c>
      <c r="V11" s="404" t="s">
        <v>1048</v>
      </c>
      <c r="W11" s="404" t="s">
        <v>1048</v>
      </c>
      <c r="X11" s="404" t="s">
        <v>1048</v>
      </c>
      <c r="Y11" s="404" t="s">
        <v>1048</v>
      </c>
    </row>
    <row r="12" spans="3:25" x14ac:dyDescent="0.25">
      <c r="C12" s="68" t="str">
        <f>'G-1 All Habitats'!B10</f>
        <v>Cropland - Intensive orchards</v>
      </c>
      <c r="D12" s="404" t="s">
        <v>1048</v>
      </c>
      <c r="E12" s="404" t="s">
        <v>1048</v>
      </c>
      <c r="F12" s="404" t="s">
        <v>1048</v>
      </c>
      <c r="G12" s="404" t="s">
        <v>1048</v>
      </c>
      <c r="H12" s="404" t="s">
        <v>1048</v>
      </c>
      <c r="I12" s="404" t="s">
        <v>1048</v>
      </c>
      <c r="J12" s="404" t="s">
        <v>1048</v>
      </c>
      <c r="K12" s="404" t="s">
        <v>1048</v>
      </c>
      <c r="L12" s="404" t="s">
        <v>1048</v>
      </c>
      <c r="M12" s="404" t="s">
        <v>1048</v>
      </c>
      <c r="N12" s="404" t="s">
        <v>1048</v>
      </c>
      <c r="O12" s="404" t="s">
        <v>1048</v>
      </c>
      <c r="P12" s="404" t="s">
        <v>1048</v>
      </c>
      <c r="Q12" s="404" t="s">
        <v>1048</v>
      </c>
      <c r="R12" s="404" t="s">
        <v>1048</v>
      </c>
      <c r="S12" s="404" t="s">
        <v>1048</v>
      </c>
      <c r="T12" s="404" t="s">
        <v>1048</v>
      </c>
      <c r="U12" s="404" t="s">
        <v>1048</v>
      </c>
      <c r="V12" s="404" t="s">
        <v>1048</v>
      </c>
      <c r="W12" s="404" t="s">
        <v>1048</v>
      </c>
      <c r="X12" s="404" t="s">
        <v>1048</v>
      </c>
      <c r="Y12" s="404" t="s">
        <v>1048</v>
      </c>
    </row>
    <row r="13" spans="3:25" x14ac:dyDescent="0.25">
      <c r="C13" s="68" t="str">
        <f>'G-1 All Habitats'!B11</f>
        <v>Cropland - Non-cereal crops</v>
      </c>
      <c r="D13" s="404" t="s">
        <v>1048</v>
      </c>
      <c r="E13" s="404" t="s">
        <v>1048</v>
      </c>
      <c r="F13" s="404" t="s">
        <v>1048</v>
      </c>
      <c r="G13" s="404" t="s">
        <v>1048</v>
      </c>
      <c r="H13" s="404" t="s">
        <v>1048</v>
      </c>
      <c r="I13" s="404" t="s">
        <v>1048</v>
      </c>
      <c r="J13" s="404" t="s">
        <v>1048</v>
      </c>
      <c r="K13" s="404" t="s">
        <v>1048</v>
      </c>
      <c r="L13" s="404" t="s">
        <v>1048</v>
      </c>
      <c r="M13" s="404" t="s">
        <v>1048</v>
      </c>
      <c r="N13" s="404" t="s">
        <v>1048</v>
      </c>
      <c r="O13" s="404" t="s">
        <v>1048</v>
      </c>
      <c r="P13" s="404" t="s">
        <v>1048</v>
      </c>
      <c r="Q13" s="404" t="s">
        <v>1048</v>
      </c>
      <c r="R13" s="404" t="s">
        <v>1048</v>
      </c>
      <c r="S13" s="404" t="s">
        <v>1048</v>
      </c>
      <c r="T13" s="404" t="s">
        <v>1048</v>
      </c>
      <c r="U13" s="404" t="s">
        <v>1048</v>
      </c>
      <c r="V13" s="404" t="s">
        <v>1048</v>
      </c>
      <c r="W13" s="404" t="s">
        <v>1048</v>
      </c>
      <c r="X13" s="404" t="s">
        <v>1048</v>
      </c>
      <c r="Y13" s="404" t="s">
        <v>1048</v>
      </c>
    </row>
    <row r="14" spans="3:25" x14ac:dyDescent="0.25">
      <c r="C14" s="68" t="str">
        <f>'G-1 All Habitats'!B12</f>
        <v>Cropland - Temporary grass and clover leys</v>
      </c>
      <c r="D14" s="404" t="s">
        <v>1048</v>
      </c>
      <c r="E14" s="404" t="s">
        <v>1048</v>
      </c>
      <c r="F14" s="404" t="s">
        <v>1048</v>
      </c>
      <c r="G14" s="404" t="s">
        <v>1048</v>
      </c>
      <c r="H14" s="404" t="s">
        <v>1048</v>
      </c>
      <c r="I14" s="404" t="s">
        <v>1048</v>
      </c>
      <c r="J14" s="404" t="s">
        <v>1048</v>
      </c>
      <c r="K14" s="404" t="s">
        <v>1048</v>
      </c>
      <c r="L14" s="404" t="s">
        <v>1048</v>
      </c>
      <c r="M14" s="404" t="s">
        <v>1048</v>
      </c>
      <c r="N14" s="404" t="s">
        <v>1048</v>
      </c>
      <c r="O14" s="404" t="s">
        <v>1048</v>
      </c>
      <c r="P14" s="404" t="s">
        <v>1048</v>
      </c>
      <c r="Q14" s="404" t="s">
        <v>1048</v>
      </c>
      <c r="R14" s="404" t="s">
        <v>1048</v>
      </c>
      <c r="S14" s="404" t="s">
        <v>1048</v>
      </c>
      <c r="T14" s="404" t="s">
        <v>1048</v>
      </c>
      <c r="U14" s="404" t="s">
        <v>1048</v>
      </c>
      <c r="V14" s="404" t="s">
        <v>1048</v>
      </c>
      <c r="W14" s="404" t="s">
        <v>1048</v>
      </c>
      <c r="X14" s="404" t="s">
        <v>1048</v>
      </c>
      <c r="Y14" s="404" t="s">
        <v>1048</v>
      </c>
    </row>
    <row r="15" spans="3:25" x14ac:dyDescent="0.25">
      <c r="C15" s="68" t="str">
        <f>'G-1 All Habitats'!B13</f>
        <v>Grassland - Traditional orchards</v>
      </c>
      <c r="D15" s="404" t="s">
        <v>1048</v>
      </c>
      <c r="E15" s="404" t="s">
        <v>1048</v>
      </c>
      <c r="F15" s="404">
        <v>5</v>
      </c>
      <c r="G15" s="404">
        <v>10</v>
      </c>
      <c r="H15" s="404">
        <v>20</v>
      </c>
      <c r="I15" s="404">
        <v>25</v>
      </c>
      <c r="J15" s="404">
        <v>30</v>
      </c>
      <c r="K15" s="404" t="s">
        <v>1048</v>
      </c>
      <c r="L15" s="404" t="s">
        <v>1048</v>
      </c>
      <c r="M15" s="404" t="s">
        <v>1048</v>
      </c>
      <c r="N15" s="404" t="s">
        <v>1048</v>
      </c>
      <c r="O15" s="404">
        <v>5</v>
      </c>
      <c r="P15" s="404">
        <v>15</v>
      </c>
      <c r="Q15" s="404">
        <v>20</v>
      </c>
      <c r="R15" s="404">
        <v>25</v>
      </c>
      <c r="S15" s="404">
        <v>10</v>
      </c>
      <c r="T15" s="404">
        <v>15</v>
      </c>
      <c r="U15" s="404">
        <v>20</v>
      </c>
      <c r="V15" s="404">
        <v>5</v>
      </c>
      <c r="W15" s="404">
        <v>10</v>
      </c>
      <c r="X15" s="404">
        <v>5</v>
      </c>
      <c r="Y15" s="404" t="s">
        <v>1048</v>
      </c>
    </row>
    <row r="16" spans="3:25" x14ac:dyDescent="0.25">
      <c r="C16" s="68" t="str">
        <f>'G-1 All Habitats'!B14</f>
        <v>Grassland - Bracken</v>
      </c>
      <c r="D16" s="404" t="s">
        <v>1048</v>
      </c>
      <c r="E16" s="404" t="s">
        <v>1048</v>
      </c>
      <c r="F16" s="404">
        <v>1</v>
      </c>
      <c r="G16" s="404" t="s">
        <v>1048</v>
      </c>
      <c r="H16" s="404" t="s">
        <v>1048</v>
      </c>
      <c r="I16" s="404" t="s">
        <v>1048</v>
      </c>
      <c r="J16" s="404" t="s">
        <v>1048</v>
      </c>
      <c r="K16" s="404" t="s">
        <v>1048</v>
      </c>
      <c r="L16" s="404" t="s">
        <v>1048</v>
      </c>
      <c r="M16" s="404" t="s">
        <v>1048</v>
      </c>
      <c r="N16" s="404" t="s">
        <v>1048</v>
      </c>
      <c r="O16" s="404" t="s">
        <v>1048</v>
      </c>
      <c r="P16" s="404" t="s">
        <v>1048</v>
      </c>
      <c r="Q16" s="404" t="s">
        <v>1048</v>
      </c>
      <c r="R16" s="404" t="s">
        <v>1048</v>
      </c>
      <c r="S16" s="404" t="s">
        <v>1048</v>
      </c>
      <c r="T16" s="404" t="s">
        <v>1048</v>
      </c>
      <c r="U16" s="404" t="s">
        <v>1048</v>
      </c>
      <c r="V16" s="404" t="s">
        <v>1048</v>
      </c>
      <c r="W16" s="404" t="s">
        <v>1048</v>
      </c>
      <c r="X16" s="404" t="s">
        <v>1048</v>
      </c>
      <c r="Y16" s="404" t="s">
        <v>1048</v>
      </c>
    </row>
    <row r="17" spans="3:25" x14ac:dyDescent="0.25">
      <c r="C17" s="68" t="str">
        <f>'G-1 All Habitats'!B15</f>
        <v>Grassland - Floodplain wetland mosaic and CFGM</v>
      </c>
      <c r="D17" s="404" t="s">
        <v>1048</v>
      </c>
      <c r="E17" s="404" t="s">
        <v>1048</v>
      </c>
      <c r="F17" s="404">
        <v>5</v>
      </c>
      <c r="G17" s="404">
        <v>8</v>
      </c>
      <c r="H17" s="404">
        <v>10</v>
      </c>
      <c r="I17" s="404">
        <v>12</v>
      </c>
      <c r="J17" s="404">
        <v>15</v>
      </c>
      <c r="K17" s="404" t="s">
        <v>1048</v>
      </c>
      <c r="L17" s="404" t="s">
        <v>1048</v>
      </c>
      <c r="M17" s="404" t="s">
        <v>1048</v>
      </c>
      <c r="N17" s="404" t="s">
        <v>1048</v>
      </c>
      <c r="O17" s="404">
        <v>8</v>
      </c>
      <c r="P17" s="404">
        <v>10</v>
      </c>
      <c r="Q17" s="404">
        <v>12</v>
      </c>
      <c r="R17" s="404">
        <v>15</v>
      </c>
      <c r="S17" s="404">
        <v>2</v>
      </c>
      <c r="T17" s="404">
        <v>4</v>
      </c>
      <c r="U17" s="404">
        <v>7</v>
      </c>
      <c r="V17" s="404">
        <v>2</v>
      </c>
      <c r="W17" s="404">
        <v>4</v>
      </c>
      <c r="X17" s="404">
        <v>3</v>
      </c>
      <c r="Y17" s="404" t="s">
        <v>1048</v>
      </c>
    </row>
    <row r="18" spans="3:25" x14ac:dyDescent="0.25">
      <c r="C18" s="68" t="str">
        <f>'G-1 All Habitats'!B16</f>
        <v>Grassland - Lowland calcareous grassland</v>
      </c>
      <c r="D18" s="404" t="s">
        <v>1048</v>
      </c>
      <c r="E18" s="404" t="s">
        <v>1048</v>
      </c>
      <c r="F18" s="404">
        <v>10</v>
      </c>
      <c r="G18" s="404">
        <v>15</v>
      </c>
      <c r="H18" s="404">
        <v>20</v>
      </c>
      <c r="I18" s="404">
        <v>25</v>
      </c>
      <c r="J18" s="404">
        <v>30</v>
      </c>
      <c r="K18" s="404" t="s">
        <v>1048</v>
      </c>
      <c r="L18" s="404" t="s">
        <v>1048</v>
      </c>
      <c r="M18" s="404" t="s">
        <v>1048</v>
      </c>
      <c r="N18" s="404" t="s">
        <v>1048</v>
      </c>
      <c r="O18" s="404">
        <v>5</v>
      </c>
      <c r="P18" s="404">
        <v>10</v>
      </c>
      <c r="Q18" s="404">
        <v>15</v>
      </c>
      <c r="R18" s="404">
        <v>20</v>
      </c>
      <c r="S18" s="404">
        <v>5</v>
      </c>
      <c r="T18" s="404">
        <v>10</v>
      </c>
      <c r="U18" s="404">
        <v>15</v>
      </c>
      <c r="V18" s="404">
        <v>5</v>
      </c>
      <c r="W18" s="404">
        <v>10</v>
      </c>
      <c r="X18" s="404">
        <v>5</v>
      </c>
      <c r="Y18" s="404" t="s">
        <v>1048</v>
      </c>
    </row>
    <row r="19" spans="3:25" x14ac:dyDescent="0.25">
      <c r="C19" s="68" t="str">
        <f>'G-1 All Habitats'!B17</f>
        <v>Grassland - Lowland dry acid grassland</v>
      </c>
      <c r="D19" s="404" t="s">
        <v>1048</v>
      </c>
      <c r="E19" s="404" t="s">
        <v>1048</v>
      </c>
      <c r="F19" s="404">
        <v>10</v>
      </c>
      <c r="G19" s="404">
        <v>15</v>
      </c>
      <c r="H19" s="404">
        <v>20</v>
      </c>
      <c r="I19" s="404">
        <v>25</v>
      </c>
      <c r="J19" s="404" t="s">
        <v>1049</v>
      </c>
      <c r="K19" s="404" t="s">
        <v>1048</v>
      </c>
      <c r="L19" s="404" t="s">
        <v>1048</v>
      </c>
      <c r="M19" s="404" t="s">
        <v>1048</v>
      </c>
      <c r="N19" s="404" t="s">
        <v>1048</v>
      </c>
      <c r="O19" s="404">
        <v>5</v>
      </c>
      <c r="P19" s="404">
        <v>15</v>
      </c>
      <c r="Q19" s="404">
        <v>20</v>
      </c>
      <c r="R19" s="404" t="s">
        <v>1049</v>
      </c>
      <c r="S19" s="404">
        <v>8</v>
      </c>
      <c r="T19" s="404">
        <v>15</v>
      </c>
      <c r="U19" s="404">
        <v>25</v>
      </c>
      <c r="V19" s="404">
        <v>10</v>
      </c>
      <c r="W19" s="404">
        <v>20</v>
      </c>
      <c r="X19" s="404">
        <v>10</v>
      </c>
      <c r="Y19" s="404" t="s">
        <v>1048</v>
      </c>
    </row>
    <row r="20" spans="3:25" x14ac:dyDescent="0.25">
      <c r="C20" s="68" t="str">
        <f>'G-1 All Habitats'!B18</f>
        <v>Grassland - Lowland meadows</v>
      </c>
      <c r="D20" s="404" t="s">
        <v>1048</v>
      </c>
      <c r="E20" s="404" t="s">
        <v>1048</v>
      </c>
      <c r="F20" s="404">
        <v>5</v>
      </c>
      <c r="G20" s="404">
        <v>8</v>
      </c>
      <c r="H20" s="404">
        <v>10</v>
      </c>
      <c r="I20" s="404">
        <v>12</v>
      </c>
      <c r="J20" s="404">
        <v>15</v>
      </c>
      <c r="K20" s="404" t="s">
        <v>1048</v>
      </c>
      <c r="L20" s="404" t="s">
        <v>1048</v>
      </c>
      <c r="M20" s="404" t="s">
        <v>1048</v>
      </c>
      <c r="N20" s="404" t="s">
        <v>1048</v>
      </c>
      <c r="O20" s="404">
        <v>4</v>
      </c>
      <c r="P20" s="404">
        <v>8</v>
      </c>
      <c r="Q20" s="404">
        <v>11</v>
      </c>
      <c r="R20" s="404">
        <v>15</v>
      </c>
      <c r="S20" s="404">
        <v>4</v>
      </c>
      <c r="T20" s="404">
        <v>8</v>
      </c>
      <c r="U20" s="404">
        <v>11</v>
      </c>
      <c r="V20" s="404">
        <v>4</v>
      </c>
      <c r="W20" s="404">
        <v>8</v>
      </c>
      <c r="X20" s="404">
        <v>4</v>
      </c>
      <c r="Y20" s="404" t="s">
        <v>1048</v>
      </c>
    </row>
    <row r="21" spans="3:25" x14ac:dyDescent="0.25">
      <c r="C21" s="68" t="str">
        <f>'G-1 All Habitats'!B19</f>
        <v>Grassland - Modified grassland</v>
      </c>
      <c r="D21" s="404" t="s">
        <v>1048</v>
      </c>
      <c r="E21" s="404">
        <v>1</v>
      </c>
      <c r="F21" s="404">
        <v>1</v>
      </c>
      <c r="G21" s="404">
        <v>5</v>
      </c>
      <c r="H21" s="404">
        <v>10</v>
      </c>
      <c r="I21" s="404">
        <v>12</v>
      </c>
      <c r="J21" s="404">
        <v>15</v>
      </c>
      <c r="K21" s="404" t="s">
        <v>1048</v>
      </c>
      <c r="L21" s="404" t="s">
        <v>1048</v>
      </c>
      <c r="M21" s="404" t="s">
        <v>1048</v>
      </c>
      <c r="N21" s="404" t="s">
        <v>1048</v>
      </c>
      <c r="O21" s="404">
        <v>5</v>
      </c>
      <c r="P21" s="404">
        <v>10</v>
      </c>
      <c r="Q21" s="404">
        <v>12</v>
      </c>
      <c r="R21" s="404">
        <v>15</v>
      </c>
      <c r="S21" s="404">
        <v>8</v>
      </c>
      <c r="T21" s="404">
        <v>10</v>
      </c>
      <c r="U21" s="404">
        <v>12</v>
      </c>
      <c r="V21" s="404">
        <v>8</v>
      </c>
      <c r="W21" s="404">
        <v>10</v>
      </c>
      <c r="X21" s="404">
        <v>8</v>
      </c>
      <c r="Y21" s="404" t="s">
        <v>1048</v>
      </c>
    </row>
    <row r="22" spans="3:25" x14ac:dyDescent="0.25">
      <c r="C22" s="68" t="str">
        <f>'G-1 All Habitats'!B20</f>
        <v>Grassland - Other lowland acid grassland</v>
      </c>
      <c r="D22" s="404" t="s">
        <v>1048</v>
      </c>
      <c r="E22" s="404" t="s">
        <v>1048</v>
      </c>
      <c r="F22" s="404">
        <v>1</v>
      </c>
      <c r="G22" s="404">
        <v>5</v>
      </c>
      <c r="H22" s="404">
        <v>10</v>
      </c>
      <c r="I22" s="404">
        <v>12</v>
      </c>
      <c r="J22" s="404">
        <v>15</v>
      </c>
      <c r="K22" s="404" t="s">
        <v>1048</v>
      </c>
      <c r="L22" s="404" t="s">
        <v>1048</v>
      </c>
      <c r="M22" s="404" t="s">
        <v>1048</v>
      </c>
      <c r="N22" s="404" t="s">
        <v>1048</v>
      </c>
      <c r="O22" s="404">
        <v>5</v>
      </c>
      <c r="P22" s="404">
        <v>10</v>
      </c>
      <c r="Q22" s="404">
        <v>12</v>
      </c>
      <c r="R22" s="404">
        <v>15</v>
      </c>
      <c r="S22" s="404">
        <v>8</v>
      </c>
      <c r="T22" s="404">
        <v>10</v>
      </c>
      <c r="U22" s="404">
        <v>12</v>
      </c>
      <c r="V22" s="404">
        <v>8</v>
      </c>
      <c r="W22" s="404">
        <v>10</v>
      </c>
      <c r="X22" s="404">
        <v>8</v>
      </c>
      <c r="Y22" s="404" t="s">
        <v>1048</v>
      </c>
    </row>
    <row r="23" spans="3:25" x14ac:dyDescent="0.25">
      <c r="C23" s="68" t="str">
        <f>'G-1 All Habitats'!B21</f>
        <v>Grassland - Other neutral grassland</v>
      </c>
      <c r="D23" s="404" t="s">
        <v>1048</v>
      </c>
      <c r="E23" s="404" t="s">
        <v>1048</v>
      </c>
      <c r="F23" s="404">
        <v>1</v>
      </c>
      <c r="G23" s="404">
        <v>5</v>
      </c>
      <c r="H23" s="404">
        <v>10</v>
      </c>
      <c r="I23" s="404">
        <v>12</v>
      </c>
      <c r="J23" s="404">
        <v>15</v>
      </c>
      <c r="K23" s="404" t="s">
        <v>1048</v>
      </c>
      <c r="L23" s="404" t="s">
        <v>1048</v>
      </c>
      <c r="M23" s="404" t="s">
        <v>1048</v>
      </c>
      <c r="N23" s="404" t="s">
        <v>1048</v>
      </c>
      <c r="O23" s="404">
        <v>5</v>
      </c>
      <c r="P23" s="404">
        <v>10</v>
      </c>
      <c r="Q23" s="404">
        <v>12</v>
      </c>
      <c r="R23" s="404">
        <v>15</v>
      </c>
      <c r="S23" s="404">
        <v>8</v>
      </c>
      <c r="T23" s="404">
        <v>10</v>
      </c>
      <c r="U23" s="404">
        <v>12</v>
      </c>
      <c r="V23" s="404">
        <v>8</v>
      </c>
      <c r="W23" s="404">
        <v>10</v>
      </c>
      <c r="X23" s="404">
        <v>8</v>
      </c>
      <c r="Y23" s="404" t="s">
        <v>1048</v>
      </c>
    </row>
    <row r="24" spans="3:25" x14ac:dyDescent="0.25">
      <c r="C24" s="68" t="str">
        <f>'G-1 All Habitats'!B22</f>
        <v>Grassland - Tall herb communities (H6430)</v>
      </c>
      <c r="D24" s="404" t="s">
        <v>1048</v>
      </c>
      <c r="E24" s="404" t="s">
        <v>1048</v>
      </c>
      <c r="F24" s="404">
        <v>10</v>
      </c>
      <c r="G24" s="404">
        <v>15</v>
      </c>
      <c r="H24" s="404">
        <v>20</v>
      </c>
      <c r="I24" s="404">
        <v>25</v>
      </c>
      <c r="J24" s="404">
        <v>30</v>
      </c>
      <c r="K24" s="404" t="s">
        <v>1048</v>
      </c>
      <c r="L24" s="404" t="s">
        <v>1048</v>
      </c>
      <c r="M24" s="404" t="s">
        <v>1048</v>
      </c>
      <c r="N24" s="404" t="s">
        <v>1048</v>
      </c>
      <c r="O24" s="404">
        <v>10</v>
      </c>
      <c r="P24" s="404">
        <v>20</v>
      </c>
      <c r="Q24" s="404">
        <v>25</v>
      </c>
      <c r="R24" s="404">
        <v>30</v>
      </c>
      <c r="S24" s="404">
        <v>10</v>
      </c>
      <c r="T24" s="404">
        <v>10</v>
      </c>
      <c r="U24" s="404">
        <v>15</v>
      </c>
      <c r="V24" s="404">
        <v>5</v>
      </c>
      <c r="W24" s="404">
        <v>10</v>
      </c>
      <c r="X24" s="404">
        <v>5</v>
      </c>
      <c r="Y24" s="404" t="s">
        <v>1048</v>
      </c>
    </row>
    <row r="25" spans="3:25" x14ac:dyDescent="0.25">
      <c r="C25" s="68" t="str">
        <f>'G-1 All Habitats'!B23</f>
        <v>Grassland - Upland acid grassland</v>
      </c>
      <c r="D25" s="404" t="s">
        <v>1048</v>
      </c>
      <c r="E25" s="404" t="s">
        <v>1048</v>
      </c>
      <c r="F25" s="404">
        <v>1</v>
      </c>
      <c r="G25" s="404">
        <v>5</v>
      </c>
      <c r="H25" s="404">
        <v>10</v>
      </c>
      <c r="I25" s="404">
        <v>12</v>
      </c>
      <c r="J25" s="404">
        <v>15</v>
      </c>
      <c r="K25" s="404" t="s">
        <v>1048</v>
      </c>
      <c r="L25" s="404" t="s">
        <v>1048</v>
      </c>
      <c r="M25" s="404" t="s">
        <v>1048</v>
      </c>
      <c r="N25" s="404" t="s">
        <v>1048</v>
      </c>
      <c r="O25" s="404">
        <v>5</v>
      </c>
      <c r="P25" s="404">
        <v>10</v>
      </c>
      <c r="Q25" s="404">
        <v>12</v>
      </c>
      <c r="R25" s="404">
        <v>15</v>
      </c>
      <c r="S25" s="404">
        <v>8</v>
      </c>
      <c r="T25" s="404">
        <v>10</v>
      </c>
      <c r="U25" s="404">
        <v>12</v>
      </c>
      <c r="V25" s="404">
        <v>8</v>
      </c>
      <c r="W25" s="404">
        <v>10</v>
      </c>
      <c r="X25" s="404">
        <v>8</v>
      </c>
      <c r="Y25" s="404" t="s">
        <v>1048</v>
      </c>
    </row>
    <row r="26" spans="3:25" x14ac:dyDescent="0.25">
      <c r="C26" s="68" t="str">
        <f>'G-1 All Habitats'!B24</f>
        <v>Grassland - Upland calcareous grassland</v>
      </c>
      <c r="D26" s="404" t="s">
        <v>1048</v>
      </c>
      <c r="E26" s="404" t="s">
        <v>1048</v>
      </c>
      <c r="F26" s="404">
        <v>10</v>
      </c>
      <c r="G26" s="404">
        <v>12</v>
      </c>
      <c r="H26" s="404">
        <v>15</v>
      </c>
      <c r="I26" s="404">
        <v>20</v>
      </c>
      <c r="J26" s="404">
        <v>25</v>
      </c>
      <c r="K26" s="404" t="s">
        <v>1048</v>
      </c>
      <c r="L26" s="404" t="s">
        <v>1048</v>
      </c>
      <c r="M26" s="404" t="s">
        <v>1048</v>
      </c>
      <c r="N26" s="404" t="s">
        <v>1048</v>
      </c>
      <c r="O26" s="404">
        <v>10</v>
      </c>
      <c r="P26" s="404">
        <v>15</v>
      </c>
      <c r="Q26" s="404">
        <v>18</v>
      </c>
      <c r="R26" s="404">
        <v>20</v>
      </c>
      <c r="S26" s="404">
        <v>10</v>
      </c>
      <c r="T26" s="404">
        <v>15</v>
      </c>
      <c r="U26" s="404">
        <v>18</v>
      </c>
      <c r="V26" s="404">
        <v>10</v>
      </c>
      <c r="W26" s="404">
        <v>10</v>
      </c>
      <c r="X26" s="404">
        <v>10</v>
      </c>
      <c r="Y26" s="404" t="s">
        <v>1048</v>
      </c>
    </row>
    <row r="27" spans="3:25" x14ac:dyDescent="0.25">
      <c r="C27" s="68" t="str">
        <f>'G-1 All Habitats'!B25</f>
        <v>Grassland - Upland hay meadows</v>
      </c>
      <c r="D27" s="404" t="s">
        <v>1048</v>
      </c>
      <c r="E27" s="404" t="s">
        <v>1048</v>
      </c>
      <c r="F27" s="404">
        <v>10</v>
      </c>
      <c r="G27" s="404">
        <v>12</v>
      </c>
      <c r="H27" s="404">
        <v>15</v>
      </c>
      <c r="I27" s="404">
        <v>18</v>
      </c>
      <c r="J27" s="404">
        <v>20</v>
      </c>
      <c r="K27" s="404" t="s">
        <v>1048</v>
      </c>
      <c r="L27" s="404" t="s">
        <v>1048</v>
      </c>
      <c r="M27" s="404" t="s">
        <v>1048</v>
      </c>
      <c r="N27" s="404" t="s">
        <v>1048</v>
      </c>
      <c r="O27" s="404">
        <v>10</v>
      </c>
      <c r="P27" s="404">
        <v>15</v>
      </c>
      <c r="Q27" s="404">
        <v>18</v>
      </c>
      <c r="R27" s="404">
        <v>20</v>
      </c>
      <c r="S27" s="404">
        <v>10</v>
      </c>
      <c r="T27" s="404">
        <v>15</v>
      </c>
      <c r="U27" s="404">
        <v>18</v>
      </c>
      <c r="V27" s="404">
        <v>10</v>
      </c>
      <c r="W27" s="404">
        <v>15</v>
      </c>
      <c r="X27" s="404">
        <v>10</v>
      </c>
      <c r="Y27" s="404" t="s">
        <v>1048</v>
      </c>
    </row>
    <row r="28" spans="3:25" x14ac:dyDescent="0.25">
      <c r="C28" s="68" t="str">
        <f>'G-1 All Habitats'!B26</f>
        <v>Heathland and shrub - Blackthorn scrub</v>
      </c>
      <c r="D28" s="404" t="s">
        <v>1048</v>
      </c>
      <c r="E28" s="404" t="s">
        <v>1048</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1048</v>
      </c>
    </row>
    <row r="29" spans="3:25" x14ac:dyDescent="0.25">
      <c r="C29" s="68" t="str">
        <f>'G-1 All Habitats'!B27</f>
        <v>Heathland and shrub - Bramble scrub</v>
      </c>
      <c r="D29" s="404" t="s">
        <v>1048</v>
      </c>
      <c r="E29" s="404" t="s">
        <v>1048</v>
      </c>
      <c r="F29" s="404">
        <v>1</v>
      </c>
      <c r="G29" s="404" t="s">
        <v>1048</v>
      </c>
      <c r="H29" s="404" t="s">
        <v>1048</v>
      </c>
      <c r="I29" s="404" t="s">
        <v>1048</v>
      </c>
      <c r="J29" s="404" t="s">
        <v>1048</v>
      </c>
      <c r="K29" s="404" t="s">
        <v>1048</v>
      </c>
      <c r="L29" s="404" t="s">
        <v>1048</v>
      </c>
      <c r="M29" s="404" t="s">
        <v>1048</v>
      </c>
      <c r="N29" s="404" t="s">
        <v>1048</v>
      </c>
      <c r="O29" s="404" t="s">
        <v>1048</v>
      </c>
      <c r="P29" s="404" t="s">
        <v>1048</v>
      </c>
      <c r="Q29" s="404" t="s">
        <v>1048</v>
      </c>
      <c r="R29" s="404" t="s">
        <v>1048</v>
      </c>
      <c r="S29" s="404" t="s">
        <v>1048</v>
      </c>
      <c r="T29" s="404" t="s">
        <v>1048</v>
      </c>
      <c r="U29" s="404" t="s">
        <v>1048</v>
      </c>
      <c r="V29" s="404" t="s">
        <v>1048</v>
      </c>
      <c r="W29" s="404" t="s">
        <v>1048</v>
      </c>
      <c r="X29" s="404" t="s">
        <v>1048</v>
      </c>
      <c r="Y29" s="404" t="s">
        <v>1048</v>
      </c>
    </row>
    <row r="30" spans="3:25" x14ac:dyDescent="0.25">
      <c r="C30" s="68" t="str">
        <f>'G-1 All Habitats'!B28</f>
        <v>Heathland and shrub - Gorse scrub</v>
      </c>
      <c r="D30" s="404" t="s">
        <v>1048</v>
      </c>
      <c r="E30" s="404" t="s">
        <v>1048</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1048</v>
      </c>
    </row>
    <row r="31" spans="3:25" x14ac:dyDescent="0.25">
      <c r="C31" s="68" t="str">
        <f>'G-1 All Habitats'!B29</f>
        <v>Heathland and shrub - Hawthorn scrub</v>
      </c>
      <c r="D31" s="404" t="s">
        <v>1048</v>
      </c>
      <c r="E31" s="404" t="s">
        <v>1048</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1048</v>
      </c>
    </row>
    <row r="32" spans="3:25" x14ac:dyDescent="0.25">
      <c r="C32" s="68" t="str">
        <f>'G-1 All Habitats'!B30</f>
        <v>Heathland and shrub - Hazel scrub</v>
      </c>
      <c r="D32" s="404" t="s">
        <v>1048</v>
      </c>
      <c r="E32" s="404" t="s">
        <v>1048</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1048</v>
      </c>
    </row>
    <row r="33" spans="3:25" x14ac:dyDescent="0.25">
      <c r="C33" s="68" t="s">
        <v>606</v>
      </c>
      <c r="D33" s="404" t="s">
        <v>1048</v>
      </c>
      <c r="E33" s="404" t="s">
        <v>1048</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1048</v>
      </c>
    </row>
    <row r="34" spans="3:25" x14ac:dyDescent="0.25">
      <c r="C34" s="68" t="str">
        <f>'G-1 All Habitats'!B31</f>
        <v>Heathland and shrub - Lowland heathland</v>
      </c>
      <c r="D34" s="404" t="s">
        <v>1048</v>
      </c>
      <c r="E34" s="404" t="s">
        <v>1048</v>
      </c>
      <c r="F34" s="404">
        <v>10</v>
      </c>
      <c r="G34" s="404">
        <v>15</v>
      </c>
      <c r="H34" s="404">
        <v>20</v>
      </c>
      <c r="I34" s="404">
        <v>25</v>
      </c>
      <c r="J34" s="404" t="s">
        <v>1049</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1048</v>
      </c>
    </row>
    <row r="35" spans="3:25" x14ac:dyDescent="0.25">
      <c r="C35" s="68" t="str">
        <f>'G-1 All Habitats'!B32</f>
        <v>Heathland and shrub - Mixed scrub</v>
      </c>
      <c r="D35" s="404" t="s">
        <v>1048</v>
      </c>
      <c r="E35" s="404" t="s">
        <v>1048</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1048</v>
      </c>
    </row>
    <row r="36" spans="3:25" x14ac:dyDescent="0.25">
      <c r="C36" s="68" t="str">
        <f>'G-1 All Habitats'!B33</f>
        <v>Heathland and shrub - Mountain heaths and willow scrub</v>
      </c>
      <c r="D36" s="404" t="s">
        <v>1048</v>
      </c>
      <c r="E36" s="404" t="s">
        <v>1048</v>
      </c>
      <c r="F36" s="404">
        <v>15</v>
      </c>
      <c r="G36" s="404">
        <v>23</v>
      </c>
      <c r="H36" s="404">
        <v>25</v>
      </c>
      <c r="I36" s="404" t="s">
        <v>1049</v>
      </c>
      <c r="J36" s="404" t="s">
        <v>1049</v>
      </c>
      <c r="K36" s="404">
        <v>20</v>
      </c>
      <c r="L36" s="404" t="s">
        <v>1049</v>
      </c>
      <c r="M36" s="404" t="s">
        <v>1049</v>
      </c>
      <c r="N36" s="404" t="s">
        <v>1049</v>
      </c>
      <c r="O36" s="404">
        <v>20</v>
      </c>
      <c r="P36" s="404" t="s">
        <v>1049</v>
      </c>
      <c r="Q36" s="404" t="s">
        <v>1049</v>
      </c>
      <c r="R36" s="404" t="s">
        <v>1049</v>
      </c>
      <c r="S36" s="404">
        <v>20</v>
      </c>
      <c r="T36" s="404" t="s">
        <v>1049</v>
      </c>
      <c r="U36" s="404" t="s">
        <v>1049</v>
      </c>
      <c r="V36" s="404">
        <v>20</v>
      </c>
      <c r="W36" s="404" t="s">
        <v>1049</v>
      </c>
      <c r="X36" s="404">
        <v>20</v>
      </c>
      <c r="Y36" s="404" t="s">
        <v>1048</v>
      </c>
    </row>
    <row r="37" spans="3:25" x14ac:dyDescent="0.25">
      <c r="C37" s="68" t="str">
        <f>'G-1 All Habitats'!B34</f>
        <v>Heathland and shrub - Rhododendron scrub</v>
      </c>
      <c r="D37" s="404" t="s">
        <v>1048</v>
      </c>
      <c r="E37" s="404" t="s">
        <v>1048</v>
      </c>
      <c r="F37" s="404">
        <v>1</v>
      </c>
      <c r="G37" s="404" t="s">
        <v>1048</v>
      </c>
      <c r="H37" s="404" t="s">
        <v>1048</v>
      </c>
      <c r="I37" s="404" t="s">
        <v>1048</v>
      </c>
      <c r="J37" s="404" t="s">
        <v>1048</v>
      </c>
      <c r="K37" s="404" t="s">
        <v>1048</v>
      </c>
      <c r="L37" s="404" t="s">
        <v>1048</v>
      </c>
      <c r="M37" s="404" t="s">
        <v>1048</v>
      </c>
      <c r="N37" s="404" t="s">
        <v>1048</v>
      </c>
      <c r="O37" s="404" t="s">
        <v>1048</v>
      </c>
      <c r="P37" s="404" t="s">
        <v>1048</v>
      </c>
      <c r="Q37" s="404" t="s">
        <v>1048</v>
      </c>
      <c r="R37" s="404" t="s">
        <v>1048</v>
      </c>
      <c r="S37" s="404" t="s">
        <v>1048</v>
      </c>
      <c r="T37" s="404" t="s">
        <v>1048</v>
      </c>
      <c r="U37" s="404" t="s">
        <v>1048</v>
      </c>
      <c r="V37" s="404" t="s">
        <v>1048</v>
      </c>
      <c r="W37" s="404" t="s">
        <v>1048</v>
      </c>
      <c r="X37" s="404" t="s">
        <v>1048</v>
      </c>
      <c r="Y37" s="404" t="s">
        <v>1048</v>
      </c>
    </row>
    <row r="38" spans="3:25" x14ac:dyDescent="0.25">
      <c r="C38" s="68" t="str">
        <f>'G-1 All Habitats'!B35</f>
        <v>Heathland and shrub - Dunes with sea buckthorn (H2160)</v>
      </c>
      <c r="D38" s="404" t="s">
        <v>1048</v>
      </c>
      <c r="E38" s="404" t="s">
        <v>1048</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1048</v>
      </c>
    </row>
    <row r="39" spans="3:25" x14ac:dyDescent="0.25">
      <c r="C39" s="68" t="str">
        <f>'G-1 All Habitats'!B36</f>
        <v>Heathland and shrub - Other sea buckthorn scrub</v>
      </c>
      <c r="D39" s="404" t="s">
        <v>1048</v>
      </c>
      <c r="E39" s="404" t="s">
        <v>1048</v>
      </c>
      <c r="F39" s="404" t="s">
        <v>1048</v>
      </c>
      <c r="G39" s="404" t="s">
        <v>1048</v>
      </c>
      <c r="H39" s="404" t="s">
        <v>1048</v>
      </c>
      <c r="I39" s="404" t="s">
        <v>1048</v>
      </c>
      <c r="J39" s="404" t="s">
        <v>1048</v>
      </c>
      <c r="K39" s="404" t="s">
        <v>1048</v>
      </c>
      <c r="L39" s="404" t="s">
        <v>1048</v>
      </c>
      <c r="M39" s="404" t="s">
        <v>1048</v>
      </c>
      <c r="N39" s="404" t="s">
        <v>1048</v>
      </c>
      <c r="O39" s="404" t="s">
        <v>1048</v>
      </c>
      <c r="P39" s="404" t="s">
        <v>1048</v>
      </c>
      <c r="Q39" s="404" t="s">
        <v>1048</v>
      </c>
      <c r="R39" s="404" t="s">
        <v>1048</v>
      </c>
      <c r="S39" s="404" t="s">
        <v>1048</v>
      </c>
      <c r="T39" s="404" t="s">
        <v>1048</v>
      </c>
      <c r="U39" s="404" t="s">
        <v>1048</v>
      </c>
      <c r="V39" s="404" t="s">
        <v>1048</v>
      </c>
      <c r="W39" s="404" t="s">
        <v>1048</v>
      </c>
      <c r="X39" s="404" t="s">
        <v>1048</v>
      </c>
      <c r="Y39" s="404" t="s">
        <v>1048</v>
      </c>
    </row>
    <row r="40" spans="3:25" x14ac:dyDescent="0.25">
      <c r="C40" s="68" t="str">
        <f>'G-1 All Habitats'!B38</f>
        <v>Heathland and shrub - Upland heathland</v>
      </c>
      <c r="D40" s="404" t="s">
        <v>1048</v>
      </c>
      <c r="E40" s="404" t="s">
        <v>1048</v>
      </c>
      <c r="F40" s="404">
        <v>10</v>
      </c>
      <c r="G40" s="404">
        <v>15</v>
      </c>
      <c r="H40" s="404">
        <v>20</v>
      </c>
      <c r="I40" s="404">
        <v>25</v>
      </c>
      <c r="J40" s="404">
        <v>30</v>
      </c>
      <c r="K40" s="404" t="s">
        <v>1048</v>
      </c>
      <c r="L40" s="404" t="s">
        <v>1048</v>
      </c>
      <c r="M40" s="404" t="s">
        <v>1048</v>
      </c>
      <c r="N40" s="404" t="s">
        <v>1048</v>
      </c>
      <c r="O40" s="404">
        <v>10</v>
      </c>
      <c r="P40" s="404">
        <v>20</v>
      </c>
      <c r="Q40" s="404">
        <v>30</v>
      </c>
      <c r="R40" s="404" t="s">
        <v>1049</v>
      </c>
      <c r="S40" s="404">
        <v>10</v>
      </c>
      <c r="T40" s="404">
        <v>20</v>
      </c>
      <c r="U40" s="404">
        <v>30</v>
      </c>
      <c r="V40" s="404">
        <v>10</v>
      </c>
      <c r="W40" s="404">
        <v>20</v>
      </c>
      <c r="X40" s="404">
        <v>10</v>
      </c>
      <c r="Y40" s="404" t="s">
        <v>1048</v>
      </c>
    </row>
    <row r="41" spans="3:25" x14ac:dyDescent="0.25">
      <c r="C41" s="68" t="str">
        <f>'G-1 All Habitats'!B39</f>
        <v>Lakes - Aquifer fed naturally fluctuating water bodies</v>
      </c>
      <c r="D41" s="404" t="s">
        <v>1048</v>
      </c>
      <c r="E41" s="404" t="s">
        <v>1048</v>
      </c>
      <c r="F41" s="404">
        <v>1</v>
      </c>
      <c r="G41" s="404">
        <v>10</v>
      </c>
      <c r="H41" s="404">
        <v>15</v>
      </c>
      <c r="I41" s="404">
        <v>20</v>
      </c>
      <c r="J41" s="404">
        <v>30</v>
      </c>
      <c r="K41" s="404" t="s">
        <v>1048</v>
      </c>
      <c r="L41" s="404" t="s">
        <v>1048</v>
      </c>
      <c r="M41" s="404" t="s">
        <v>1048</v>
      </c>
      <c r="N41" s="404" t="s">
        <v>1048</v>
      </c>
      <c r="O41" s="404">
        <v>5</v>
      </c>
      <c r="P41" s="404">
        <v>10</v>
      </c>
      <c r="Q41" s="404">
        <v>15</v>
      </c>
      <c r="R41" s="404">
        <v>30</v>
      </c>
      <c r="S41" s="404">
        <v>5</v>
      </c>
      <c r="T41" s="404">
        <v>15</v>
      </c>
      <c r="U41" s="404">
        <v>25</v>
      </c>
      <c r="V41" s="404">
        <v>5</v>
      </c>
      <c r="W41" s="404">
        <v>20</v>
      </c>
      <c r="X41" s="404">
        <v>5</v>
      </c>
      <c r="Y41" s="404" t="s">
        <v>1048</v>
      </c>
    </row>
    <row r="42" spans="3:25" x14ac:dyDescent="0.25">
      <c r="C42" s="68" t="str">
        <f>'G-1 All Habitats'!B41</f>
        <v>Lakes - High alkalinity lakes</v>
      </c>
      <c r="D42" s="404" t="s">
        <v>1048</v>
      </c>
      <c r="E42" s="404" t="s">
        <v>1048</v>
      </c>
      <c r="F42" s="404">
        <v>2</v>
      </c>
      <c r="G42" s="404">
        <v>3</v>
      </c>
      <c r="H42" s="404">
        <v>5</v>
      </c>
      <c r="I42" s="404">
        <v>7</v>
      </c>
      <c r="J42" s="404">
        <v>10</v>
      </c>
      <c r="K42" s="404" t="s">
        <v>1048</v>
      </c>
      <c r="L42" s="404" t="s">
        <v>1048</v>
      </c>
      <c r="M42" s="404" t="s">
        <v>1048</v>
      </c>
      <c r="N42" s="404" t="s">
        <v>1048</v>
      </c>
      <c r="O42" s="404">
        <v>5</v>
      </c>
      <c r="P42" s="404">
        <v>10</v>
      </c>
      <c r="Q42" s="404">
        <v>15</v>
      </c>
      <c r="R42" s="404">
        <v>30</v>
      </c>
      <c r="S42" s="404">
        <v>5</v>
      </c>
      <c r="T42" s="404">
        <v>15</v>
      </c>
      <c r="U42" s="404">
        <v>25</v>
      </c>
      <c r="V42" s="404">
        <v>10</v>
      </c>
      <c r="W42" s="404">
        <v>20</v>
      </c>
      <c r="X42" s="404">
        <v>10</v>
      </c>
      <c r="Y42" s="404" t="s">
        <v>1048</v>
      </c>
    </row>
    <row r="43" spans="3:25" x14ac:dyDescent="0.25">
      <c r="C43" s="68" t="str">
        <f>'G-1 All Habitats'!B42</f>
        <v>Lakes - Low alkalinity lakes</v>
      </c>
      <c r="D43" s="404" t="s">
        <v>1048</v>
      </c>
      <c r="E43" s="404" t="s">
        <v>1048</v>
      </c>
      <c r="F43" s="404">
        <v>5</v>
      </c>
      <c r="G43" s="404">
        <v>10</v>
      </c>
      <c r="H43" s="404">
        <v>15</v>
      </c>
      <c r="I43" s="404">
        <v>20</v>
      </c>
      <c r="J43" s="404">
        <v>30</v>
      </c>
      <c r="K43" s="404" t="s">
        <v>1048</v>
      </c>
      <c r="L43" s="404" t="s">
        <v>1048</v>
      </c>
      <c r="M43" s="404" t="s">
        <v>1048</v>
      </c>
      <c r="N43" s="404" t="s">
        <v>1048</v>
      </c>
      <c r="O43" s="404">
        <v>5</v>
      </c>
      <c r="P43" s="404">
        <v>10</v>
      </c>
      <c r="Q43" s="404">
        <v>15</v>
      </c>
      <c r="R43" s="404">
        <v>20</v>
      </c>
      <c r="S43" s="404">
        <v>5</v>
      </c>
      <c r="T43" s="404">
        <v>10</v>
      </c>
      <c r="U43" s="404">
        <v>15</v>
      </c>
      <c r="V43" s="404">
        <v>5</v>
      </c>
      <c r="W43" s="404">
        <v>10</v>
      </c>
      <c r="X43" s="404">
        <v>5</v>
      </c>
      <c r="Y43" s="404" t="s">
        <v>1048</v>
      </c>
    </row>
    <row r="44" spans="3:25" x14ac:dyDescent="0.25">
      <c r="C44" s="68" t="str">
        <f>'G-1 All Habitats'!B43</f>
        <v>Lakes - Marl lakes</v>
      </c>
      <c r="D44" s="404" t="s">
        <v>1048</v>
      </c>
      <c r="E44" s="404" t="s">
        <v>1048</v>
      </c>
      <c r="F44" s="404">
        <v>5</v>
      </c>
      <c r="G44" s="404">
        <v>7</v>
      </c>
      <c r="H44" s="404">
        <v>10</v>
      </c>
      <c r="I44" s="404">
        <v>15</v>
      </c>
      <c r="J44" s="404">
        <v>20</v>
      </c>
      <c r="K44" s="404" t="s">
        <v>1048</v>
      </c>
      <c r="L44" s="404" t="s">
        <v>1048</v>
      </c>
      <c r="M44" s="404" t="s">
        <v>1048</v>
      </c>
      <c r="N44" s="404" t="s">
        <v>1048</v>
      </c>
      <c r="O44" s="404">
        <v>5</v>
      </c>
      <c r="P44" s="404">
        <v>10</v>
      </c>
      <c r="Q44" s="404">
        <v>15</v>
      </c>
      <c r="R44" s="404">
        <v>30</v>
      </c>
      <c r="S44" s="404">
        <v>5</v>
      </c>
      <c r="T44" s="404">
        <v>15</v>
      </c>
      <c r="U44" s="404">
        <v>25</v>
      </c>
      <c r="V44" s="404">
        <v>10</v>
      </c>
      <c r="W44" s="404">
        <v>20</v>
      </c>
      <c r="X44" s="404">
        <v>10</v>
      </c>
      <c r="Y44" s="404" t="s">
        <v>1048</v>
      </c>
    </row>
    <row r="45" spans="3:25" x14ac:dyDescent="0.25">
      <c r="C45" s="68" t="str">
        <f>'G-1 All Habitats'!B44</f>
        <v>Lakes - Moderate alkalinity lakes</v>
      </c>
      <c r="D45" s="404" t="s">
        <v>1048</v>
      </c>
      <c r="E45" s="404" t="s">
        <v>1048</v>
      </c>
      <c r="F45" s="404">
        <v>5</v>
      </c>
      <c r="G45" s="404">
        <v>7</v>
      </c>
      <c r="H45" s="404">
        <v>10</v>
      </c>
      <c r="I45" s="404">
        <v>15</v>
      </c>
      <c r="J45" s="404">
        <v>20</v>
      </c>
      <c r="K45" s="404" t="s">
        <v>1048</v>
      </c>
      <c r="L45" s="404" t="s">
        <v>1048</v>
      </c>
      <c r="M45" s="404" t="s">
        <v>1048</v>
      </c>
      <c r="N45" s="404" t="s">
        <v>1048</v>
      </c>
      <c r="O45" s="404">
        <v>5</v>
      </c>
      <c r="P45" s="404">
        <v>10</v>
      </c>
      <c r="Q45" s="404">
        <v>15</v>
      </c>
      <c r="R45" s="404">
        <v>30</v>
      </c>
      <c r="S45" s="404">
        <v>5</v>
      </c>
      <c r="T45" s="404">
        <v>15</v>
      </c>
      <c r="U45" s="404">
        <v>25</v>
      </c>
      <c r="V45" s="404">
        <v>10</v>
      </c>
      <c r="W45" s="404">
        <v>20</v>
      </c>
      <c r="X45" s="404">
        <v>10</v>
      </c>
      <c r="Y45" s="404" t="s">
        <v>1048</v>
      </c>
    </row>
    <row r="46" spans="3:25" x14ac:dyDescent="0.25">
      <c r="C46" s="68" t="str">
        <f>'G-1 All Habitats'!B45</f>
        <v>Lakes - Peat lakes</v>
      </c>
      <c r="D46" s="404" t="s">
        <v>1048</v>
      </c>
      <c r="E46" s="404" t="s">
        <v>1048</v>
      </c>
      <c r="F46" s="404">
        <v>5</v>
      </c>
      <c r="G46" s="404">
        <v>10</v>
      </c>
      <c r="H46" s="404">
        <v>15</v>
      </c>
      <c r="I46" s="404">
        <v>20</v>
      </c>
      <c r="J46" s="404">
        <v>30</v>
      </c>
      <c r="K46" s="404" t="s">
        <v>1048</v>
      </c>
      <c r="L46" s="404" t="s">
        <v>1048</v>
      </c>
      <c r="M46" s="404" t="s">
        <v>1048</v>
      </c>
      <c r="N46" s="404" t="s">
        <v>1048</v>
      </c>
      <c r="O46" s="404">
        <v>5</v>
      </c>
      <c r="P46" s="404">
        <v>10</v>
      </c>
      <c r="Q46" s="404">
        <v>15</v>
      </c>
      <c r="R46" s="404">
        <v>30</v>
      </c>
      <c r="S46" s="404">
        <v>5</v>
      </c>
      <c r="T46" s="404">
        <v>15</v>
      </c>
      <c r="U46" s="404">
        <v>25</v>
      </c>
      <c r="V46" s="404">
        <v>10</v>
      </c>
      <c r="W46" s="404">
        <v>20</v>
      </c>
      <c r="X46" s="404">
        <v>10</v>
      </c>
      <c r="Y46" s="404" t="s">
        <v>1048</v>
      </c>
    </row>
    <row r="47" spans="3:25" x14ac:dyDescent="0.25">
      <c r="C47" s="68" t="str">
        <f>'G-1 All Habitats'!B46</f>
        <v>Lakes - Ponds (priority habitat)</v>
      </c>
      <c r="D47" s="404" t="s">
        <v>1048</v>
      </c>
      <c r="E47" s="404" t="s">
        <v>1048</v>
      </c>
      <c r="F47" s="404">
        <v>2</v>
      </c>
      <c r="G47" s="404">
        <v>3</v>
      </c>
      <c r="H47" s="404">
        <v>5</v>
      </c>
      <c r="I47" s="404">
        <v>7</v>
      </c>
      <c r="J47" s="404">
        <v>10</v>
      </c>
      <c r="K47" s="404" t="s">
        <v>1048</v>
      </c>
      <c r="L47" s="404" t="s">
        <v>1048</v>
      </c>
      <c r="M47" s="404" t="s">
        <v>1048</v>
      </c>
      <c r="N47" s="404" t="s">
        <v>1048</v>
      </c>
      <c r="O47" s="404">
        <v>2</v>
      </c>
      <c r="P47" s="404">
        <v>4</v>
      </c>
      <c r="Q47" s="404">
        <v>6</v>
      </c>
      <c r="R47" s="404">
        <v>8</v>
      </c>
      <c r="S47" s="404">
        <v>2</v>
      </c>
      <c r="T47" s="404">
        <v>4</v>
      </c>
      <c r="U47" s="404">
        <v>6</v>
      </c>
      <c r="V47" s="404">
        <v>2</v>
      </c>
      <c r="W47" s="404">
        <v>4</v>
      </c>
      <c r="X47" s="404">
        <v>2</v>
      </c>
      <c r="Y47" s="404" t="s">
        <v>1048</v>
      </c>
    </row>
    <row r="48" spans="3:25" x14ac:dyDescent="0.25">
      <c r="C48" s="68" t="str">
        <f>'G-1 All Habitats'!B47</f>
        <v>Lakes - Ponds (non-priority habitat)</v>
      </c>
      <c r="D48" s="404" t="s">
        <v>1048</v>
      </c>
      <c r="E48" s="404" t="s">
        <v>1048</v>
      </c>
      <c r="F48" s="404">
        <v>1</v>
      </c>
      <c r="G48" s="404">
        <v>2</v>
      </c>
      <c r="H48" s="404">
        <v>3</v>
      </c>
      <c r="I48" s="404">
        <v>4</v>
      </c>
      <c r="J48" s="404">
        <v>5</v>
      </c>
      <c r="K48" s="404" t="s">
        <v>1048</v>
      </c>
      <c r="L48" s="404" t="s">
        <v>1048</v>
      </c>
      <c r="M48" s="404" t="s">
        <v>1048</v>
      </c>
      <c r="N48" s="404" t="s">
        <v>1048</v>
      </c>
      <c r="O48" s="404">
        <v>2</v>
      </c>
      <c r="P48" s="404">
        <v>4</v>
      </c>
      <c r="Q48" s="404">
        <v>6</v>
      </c>
      <c r="R48" s="404">
        <v>8</v>
      </c>
      <c r="S48" s="404">
        <v>2</v>
      </c>
      <c r="T48" s="404">
        <v>4</v>
      </c>
      <c r="U48" s="404">
        <v>6</v>
      </c>
      <c r="V48" s="404">
        <v>2</v>
      </c>
      <c r="W48" s="404">
        <v>4</v>
      </c>
      <c r="X48" s="404">
        <v>2</v>
      </c>
      <c r="Y48" s="404" t="s">
        <v>1048</v>
      </c>
    </row>
    <row r="49" spans="3:25" x14ac:dyDescent="0.25">
      <c r="C49" s="68" t="str">
        <f>'G-1 All Habitats'!B48</f>
        <v>Lakes - Reservoirs</v>
      </c>
      <c r="D49" s="404" t="s">
        <v>1048</v>
      </c>
      <c r="E49" s="404" t="s">
        <v>1048</v>
      </c>
      <c r="F49" s="404">
        <v>1</v>
      </c>
      <c r="G49" s="404">
        <v>3</v>
      </c>
      <c r="H49" s="404">
        <v>5</v>
      </c>
      <c r="I49" s="404">
        <v>7</v>
      </c>
      <c r="J49" s="404">
        <v>10</v>
      </c>
      <c r="K49" s="404" t="s">
        <v>1048</v>
      </c>
      <c r="L49" s="404" t="s">
        <v>1048</v>
      </c>
      <c r="M49" s="404" t="s">
        <v>1048</v>
      </c>
      <c r="N49" s="404" t="s">
        <v>1048</v>
      </c>
      <c r="O49" s="404">
        <v>5</v>
      </c>
      <c r="P49" s="404">
        <v>10</v>
      </c>
      <c r="Q49" s="404">
        <v>15</v>
      </c>
      <c r="R49" s="404">
        <v>30</v>
      </c>
      <c r="S49" s="404">
        <v>5</v>
      </c>
      <c r="T49" s="404">
        <v>15</v>
      </c>
      <c r="U49" s="404">
        <v>25</v>
      </c>
      <c r="V49" s="404">
        <v>10</v>
      </c>
      <c r="W49" s="404">
        <v>20</v>
      </c>
      <c r="X49" s="404">
        <v>10</v>
      </c>
      <c r="Y49" s="404" t="s">
        <v>1048</v>
      </c>
    </row>
    <row r="50" spans="3:25" x14ac:dyDescent="0.25">
      <c r="C50" s="68" t="str">
        <f>'G-1 All Habitats'!B49</f>
        <v>Lakes - Temporary lakes ponds and pools (H3170)</v>
      </c>
      <c r="D50" s="404" t="s">
        <v>1048</v>
      </c>
      <c r="E50" s="404" t="s">
        <v>1048</v>
      </c>
      <c r="F50" s="404">
        <v>2</v>
      </c>
      <c r="G50" s="404">
        <v>3</v>
      </c>
      <c r="H50" s="404">
        <v>5</v>
      </c>
      <c r="I50" s="404">
        <v>7</v>
      </c>
      <c r="J50" s="404">
        <v>10</v>
      </c>
      <c r="K50" s="404" t="s">
        <v>1048</v>
      </c>
      <c r="L50" s="404" t="s">
        <v>1048</v>
      </c>
      <c r="M50" s="404" t="s">
        <v>1048</v>
      </c>
      <c r="N50" s="404" t="s">
        <v>1048</v>
      </c>
      <c r="O50" s="404">
        <v>2</v>
      </c>
      <c r="P50" s="404">
        <v>4</v>
      </c>
      <c r="Q50" s="404">
        <v>6</v>
      </c>
      <c r="R50" s="404">
        <v>8</v>
      </c>
      <c r="S50" s="404">
        <v>2</v>
      </c>
      <c r="T50" s="404">
        <v>4</v>
      </c>
      <c r="U50" s="404">
        <v>6</v>
      </c>
      <c r="V50" s="404">
        <v>2</v>
      </c>
      <c r="W50" s="404">
        <v>4</v>
      </c>
      <c r="X50" s="404">
        <v>2</v>
      </c>
      <c r="Y50" s="404" t="s">
        <v>1048</v>
      </c>
    </row>
    <row r="51" spans="3:25" x14ac:dyDescent="0.25">
      <c r="C51" s="68" t="str">
        <f>'G-1 All Habitats'!B50</f>
        <v>Sparsely vegetated land - Calaminarian grasslands</v>
      </c>
      <c r="D51" s="404" t="s">
        <v>1048</v>
      </c>
      <c r="E51" s="404" t="s">
        <v>1048</v>
      </c>
      <c r="F51" s="404">
        <v>2</v>
      </c>
      <c r="G51" s="404">
        <v>3</v>
      </c>
      <c r="H51" s="404">
        <v>5</v>
      </c>
      <c r="I51" s="404">
        <v>7</v>
      </c>
      <c r="J51" s="404">
        <v>10</v>
      </c>
      <c r="K51" s="404" t="s">
        <v>1048</v>
      </c>
      <c r="L51" s="404" t="s">
        <v>1048</v>
      </c>
      <c r="M51" s="404" t="s">
        <v>1048</v>
      </c>
      <c r="N51" s="404" t="s">
        <v>1048</v>
      </c>
      <c r="O51" s="404">
        <v>1</v>
      </c>
      <c r="P51" s="404">
        <v>3</v>
      </c>
      <c r="Q51" s="404">
        <v>5</v>
      </c>
      <c r="R51" s="404">
        <v>8</v>
      </c>
      <c r="S51" s="404">
        <v>1</v>
      </c>
      <c r="T51" s="404">
        <v>4</v>
      </c>
      <c r="U51" s="404">
        <v>7</v>
      </c>
      <c r="V51" s="404">
        <v>2</v>
      </c>
      <c r="W51" s="404">
        <v>5</v>
      </c>
      <c r="X51" s="404">
        <v>3</v>
      </c>
      <c r="Y51" s="404" t="s">
        <v>1048</v>
      </c>
    </row>
    <row r="52" spans="3:25" x14ac:dyDescent="0.25">
      <c r="C52" s="68" t="str">
        <f>'G-1 All Habitats'!B51</f>
        <v>Sparsely vegetated land - Coastal sand dunes</v>
      </c>
      <c r="D52" s="404" t="s">
        <v>1048</v>
      </c>
      <c r="E52" s="404" t="s">
        <v>1048</v>
      </c>
      <c r="F52" s="404">
        <v>5</v>
      </c>
      <c r="G52" s="404">
        <v>7</v>
      </c>
      <c r="H52" s="404">
        <v>10</v>
      </c>
      <c r="I52" s="404">
        <v>15</v>
      </c>
      <c r="J52" s="404">
        <v>20</v>
      </c>
      <c r="K52" s="404" t="s">
        <v>1048</v>
      </c>
      <c r="L52" s="404" t="s">
        <v>1048</v>
      </c>
      <c r="M52" s="404" t="s">
        <v>1048</v>
      </c>
      <c r="N52" s="404" t="s">
        <v>1048</v>
      </c>
      <c r="O52" s="404">
        <v>5</v>
      </c>
      <c r="P52" s="404">
        <v>8</v>
      </c>
      <c r="Q52" s="404">
        <v>15</v>
      </c>
      <c r="R52" s="404">
        <v>20</v>
      </c>
      <c r="S52" s="404">
        <v>5</v>
      </c>
      <c r="T52" s="404">
        <v>10</v>
      </c>
      <c r="U52" s="404">
        <v>18</v>
      </c>
      <c r="V52" s="404">
        <v>7</v>
      </c>
      <c r="W52" s="404">
        <v>12</v>
      </c>
      <c r="X52" s="404">
        <v>8</v>
      </c>
      <c r="Y52" s="404" t="s">
        <v>1048</v>
      </c>
    </row>
    <row r="53" spans="3:25" x14ac:dyDescent="0.25">
      <c r="C53" s="68" t="str">
        <f>'G-1 All Habitats'!B52</f>
        <v>Sparsely vegetated land - Coastal vegetated shingle</v>
      </c>
      <c r="D53" s="404" t="s">
        <v>1048</v>
      </c>
      <c r="E53" s="404" t="s">
        <v>1048</v>
      </c>
      <c r="F53" s="404">
        <v>5</v>
      </c>
      <c r="G53" s="404">
        <v>7</v>
      </c>
      <c r="H53" s="404">
        <v>10</v>
      </c>
      <c r="I53" s="404">
        <v>15</v>
      </c>
      <c r="J53" s="404">
        <v>20</v>
      </c>
      <c r="K53" s="404" t="s">
        <v>1048</v>
      </c>
      <c r="L53" s="404" t="s">
        <v>1048</v>
      </c>
      <c r="M53" s="404" t="s">
        <v>1048</v>
      </c>
      <c r="N53" s="404" t="s">
        <v>1048</v>
      </c>
      <c r="O53" s="404">
        <v>5</v>
      </c>
      <c r="P53" s="404">
        <v>8</v>
      </c>
      <c r="Q53" s="404">
        <v>15</v>
      </c>
      <c r="R53" s="404">
        <v>20</v>
      </c>
      <c r="S53" s="404">
        <v>5</v>
      </c>
      <c r="T53" s="404">
        <v>10</v>
      </c>
      <c r="U53" s="404">
        <v>18</v>
      </c>
      <c r="V53" s="404">
        <v>7</v>
      </c>
      <c r="W53" s="404">
        <v>12</v>
      </c>
      <c r="X53" s="404">
        <v>8</v>
      </c>
      <c r="Y53" s="404" t="s">
        <v>1048</v>
      </c>
    </row>
    <row r="54" spans="3:25" x14ac:dyDescent="0.25">
      <c r="C54" s="68" t="str">
        <f>'G-1 All Habitats'!B53</f>
        <v>Sparsely vegetated land - Ruderal/Ephemeral</v>
      </c>
      <c r="D54" s="404" t="s">
        <v>1048</v>
      </c>
      <c r="E54" s="404" t="s">
        <v>1048</v>
      </c>
      <c r="F54" s="404" t="s">
        <v>1048</v>
      </c>
      <c r="G54" s="404" t="s">
        <v>1048</v>
      </c>
      <c r="H54" s="404" t="s">
        <v>1048</v>
      </c>
      <c r="I54" s="404" t="s">
        <v>1048</v>
      </c>
      <c r="J54" s="404" t="s">
        <v>1048</v>
      </c>
      <c r="K54" s="404" t="s">
        <v>1048</v>
      </c>
      <c r="L54" s="404" t="s">
        <v>1048</v>
      </c>
      <c r="M54" s="404" t="s">
        <v>1048</v>
      </c>
      <c r="N54" s="404" t="s">
        <v>1048</v>
      </c>
      <c r="O54" s="404">
        <v>1</v>
      </c>
      <c r="P54" s="404">
        <v>2</v>
      </c>
      <c r="Q54" s="404">
        <v>3</v>
      </c>
      <c r="R54" s="404">
        <v>5</v>
      </c>
      <c r="S54" s="404">
        <v>1</v>
      </c>
      <c r="T54" s="404">
        <v>2</v>
      </c>
      <c r="U54" s="404">
        <v>3</v>
      </c>
      <c r="V54" s="404">
        <v>1</v>
      </c>
      <c r="W54" s="404">
        <v>2</v>
      </c>
      <c r="X54" s="404">
        <v>1</v>
      </c>
      <c r="Y54" s="404" t="s">
        <v>1048</v>
      </c>
    </row>
    <row r="55" spans="3:25" x14ac:dyDescent="0.25">
      <c r="C55" s="68" t="s">
        <v>664</v>
      </c>
      <c r="D55" s="404" t="s">
        <v>1048</v>
      </c>
      <c r="E55" s="404" t="s">
        <v>1048</v>
      </c>
      <c r="F55" s="404" t="s">
        <v>1048</v>
      </c>
      <c r="G55" s="404" t="s">
        <v>1048</v>
      </c>
      <c r="H55" s="404" t="s">
        <v>1048</v>
      </c>
      <c r="I55" s="404" t="s">
        <v>1048</v>
      </c>
      <c r="J55" s="404" t="s">
        <v>1048</v>
      </c>
      <c r="K55" s="404" t="s">
        <v>1048</v>
      </c>
      <c r="L55" s="404" t="s">
        <v>1048</v>
      </c>
      <c r="M55" s="404" t="s">
        <v>1048</v>
      </c>
      <c r="N55" s="404" t="s">
        <v>1048</v>
      </c>
      <c r="O55" s="404">
        <v>1</v>
      </c>
      <c r="P55" s="404">
        <v>2</v>
      </c>
      <c r="Q55" s="404">
        <v>3</v>
      </c>
      <c r="R55" s="404">
        <v>5</v>
      </c>
      <c r="S55" s="404">
        <v>1</v>
      </c>
      <c r="T55" s="404">
        <v>2</v>
      </c>
      <c r="U55" s="404">
        <v>3</v>
      </c>
      <c r="V55" s="404">
        <v>1</v>
      </c>
      <c r="W55" s="404">
        <v>2</v>
      </c>
      <c r="X55" s="404">
        <v>1</v>
      </c>
      <c r="Y55" s="404" t="s">
        <v>1048</v>
      </c>
    </row>
    <row r="56" spans="3:25" x14ac:dyDescent="0.25">
      <c r="C56" s="68" t="str">
        <f>'G-1 All Habitats'!B55</f>
        <v>Sparsely vegetated land - Inland rock outcrop and scree habitats</v>
      </c>
      <c r="D56" s="404" t="s">
        <v>1048</v>
      </c>
      <c r="E56" s="404" t="s">
        <v>1048</v>
      </c>
      <c r="F56" s="404">
        <v>10</v>
      </c>
      <c r="G56" s="404">
        <v>15</v>
      </c>
      <c r="H56" s="404">
        <v>20</v>
      </c>
      <c r="I56" s="404">
        <v>25</v>
      </c>
      <c r="J56" s="404" t="s">
        <v>1049</v>
      </c>
      <c r="K56" s="404" t="s">
        <v>1048</v>
      </c>
      <c r="L56" s="404" t="s">
        <v>1048</v>
      </c>
      <c r="M56" s="404" t="s">
        <v>1048</v>
      </c>
      <c r="N56" s="404" t="s">
        <v>1048</v>
      </c>
      <c r="O56" s="404">
        <v>10</v>
      </c>
      <c r="P56" s="404">
        <v>15</v>
      </c>
      <c r="Q56" s="404">
        <v>25</v>
      </c>
      <c r="R56" s="404" t="s">
        <v>1049</v>
      </c>
      <c r="S56" s="404">
        <v>20</v>
      </c>
      <c r="T56" s="404">
        <v>25</v>
      </c>
      <c r="U56" s="404">
        <v>27</v>
      </c>
      <c r="V56" s="404">
        <v>15</v>
      </c>
      <c r="W56" s="404">
        <v>20</v>
      </c>
      <c r="X56" s="404">
        <v>15</v>
      </c>
      <c r="Y56" s="404" t="s">
        <v>1048</v>
      </c>
    </row>
    <row r="57" spans="3:25" x14ac:dyDescent="0.25">
      <c r="C57" s="68" t="str">
        <f>'G-1 All Habitats'!B56</f>
        <v>Sparsely vegetated land - Limestone pavement</v>
      </c>
      <c r="D57" s="404" t="s">
        <v>1048</v>
      </c>
      <c r="E57" s="404" t="s">
        <v>1048</v>
      </c>
      <c r="F57" s="404" t="s">
        <v>1049</v>
      </c>
      <c r="G57" s="404" t="s">
        <v>1049</v>
      </c>
      <c r="H57" s="404" t="s">
        <v>1049</v>
      </c>
      <c r="I57" s="404" t="s">
        <v>1049</v>
      </c>
      <c r="J57" s="404" t="s">
        <v>1049</v>
      </c>
      <c r="K57" s="404" t="s">
        <v>1048</v>
      </c>
      <c r="L57" s="404" t="s">
        <v>1048</v>
      </c>
      <c r="M57" s="404" t="s">
        <v>1048</v>
      </c>
      <c r="N57" s="404" t="s">
        <v>1048</v>
      </c>
      <c r="O57" s="404">
        <v>5</v>
      </c>
      <c r="P57" s="404">
        <v>10</v>
      </c>
      <c r="Q57" s="404">
        <v>15</v>
      </c>
      <c r="R57" s="404">
        <v>20</v>
      </c>
      <c r="S57" s="404">
        <v>5</v>
      </c>
      <c r="T57" s="404">
        <v>10</v>
      </c>
      <c r="U57" s="404">
        <v>15</v>
      </c>
      <c r="V57" s="404">
        <v>5</v>
      </c>
      <c r="W57" s="404">
        <v>10</v>
      </c>
      <c r="X57" s="404">
        <v>5</v>
      </c>
      <c r="Y57" s="404" t="s">
        <v>1048</v>
      </c>
    </row>
    <row r="58" spans="3:25" x14ac:dyDescent="0.25">
      <c r="C58" s="68" t="str">
        <f>'G-1 All Habitats'!B57</f>
        <v>Sparsely vegetated land - Maritime cliff and slopes</v>
      </c>
      <c r="D58" s="404" t="s">
        <v>1048</v>
      </c>
      <c r="E58" s="404" t="s">
        <v>1048</v>
      </c>
      <c r="F58" s="404">
        <v>10</v>
      </c>
      <c r="G58" s="404">
        <v>15</v>
      </c>
      <c r="H58" s="404">
        <v>20</v>
      </c>
      <c r="I58" s="404">
        <v>25</v>
      </c>
      <c r="J58" s="404" t="s">
        <v>1049</v>
      </c>
      <c r="K58" s="404" t="s">
        <v>1048</v>
      </c>
      <c r="L58" s="404" t="s">
        <v>1048</v>
      </c>
      <c r="M58" s="404" t="s">
        <v>1048</v>
      </c>
      <c r="N58" s="404" t="s">
        <v>1048</v>
      </c>
      <c r="O58" s="404">
        <v>5</v>
      </c>
      <c r="P58" s="404">
        <v>8</v>
      </c>
      <c r="Q58" s="404">
        <v>15</v>
      </c>
      <c r="R58" s="404">
        <v>20</v>
      </c>
      <c r="S58" s="404">
        <v>5</v>
      </c>
      <c r="T58" s="404">
        <v>10</v>
      </c>
      <c r="U58" s="404">
        <v>18</v>
      </c>
      <c r="V58" s="404">
        <v>7</v>
      </c>
      <c r="W58" s="404">
        <v>12</v>
      </c>
      <c r="X58" s="404">
        <v>8</v>
      </c>
      <c r="Y58" s="404" t="s">
        <v>1048</v>
      </c>
    </row>
    <row r="59" spans="3:25" x14ac:dyDescent="0.25">
      <c r="C59" s="68" t="str">
        <f>'G-1 All Habitats'!B58</f>
        <v>Sparsely vegetated land - Other inland rock and scree</v>
      </c>
      <c r="D59" s="404" t="s">
        <v>1048</v>
      </c>
      <c r="E59" s="404" t="s">
        <v>1048</v>
      </c>
      <c r="F59" s="404">
        <v>3</v>
      </c>
      <c r="G59" s="404">
        <v>5</v>
      </c>
      <c r="H59" s="404">
        <v>10</v>
      </c>
      <c r="I59" s="404">
        <v>15</v>
      </c>
      <c r="J59" s="404">
        <v>20</v>
      </c>
      <c r="K59" s="404" t="s">
        <v>1048</v>
      </c>
      <c r="L59" s="404" t="s">
        <v>1048</v>
      </c>
      <c r="M59" s="404" t="s">
        <v>1048</v>
      </c>
      <c r="N59" s="404" t="s">
        <v>1048</v>
      </c>
      <c r="O59" s="404">
        <v>5</v>
      </c>
      <c r="P59" s="404">
        <v>10</v>
      </c>
      <c r="Q59" s="404">
        <v>15</v>
      </c>
      <c r="R59" s="404">
        <v>20</v>
      </c>
      <c r="S59" s="404">
        <v>5</v>
      </c>
      <c r="T59" s="404">
        <v>10</v>
      </c>
      <c r="U59" s="404">
        <v>15</v>
      </c>
      <c r="V59" s="404">
        <v>5</v>
      </c>
      <c r="W59" s="404">
        <v>10</v>
      </c>
      <c r="X59" s="404">
        <v>5</v>
      </c>
      <c r="Y59" s="404" t="s">
        <v>1048</v>
      </c>
    </row>
    <row r="60" spans="3:25" x14ac:dyDescent="0.25">
      <c r="C60" s="68" t="str">
        <f>'G-1 All Habitats'!B59</f>
        <v>Urban - Allotments</v>
      </c>
      <c r="D60" s="404" t="s">
        <v>1048</v>
      </c>
      <c r="E60" s="404" t="s">
        <v>1048</v>
      </c>
      <c r="F60" s="404">
        <v>1</v>
      </c>
      <c r="G60" s="404">
        <v>1</v>
      </c>
      <c r="H60" s="404">
        <v>1</v>
      </c>
      <c r="I60" s="404">
        <v>1</v>
      </c>
      <c r="J60" s="404">
        <v>1</v>
      </c>
      <c r="K60" s="404" t="s">
        <v>1048</v>
      </c>
      <c r="L60" s="404" t="s">
        <v>1048</v>
      </c>
      <c r="M60" s="404" t="s">
        <v>1048</v>
      </c>
      <c r="N60" s="404" t="s">
        <v>1048</v>
      </c>
      <c r="O60" s="404">
        <v>1</v>
      </c>
      <c r="P60" s="404">
        <v>1</v>
      </c>
      <c r="Q60" s="404">
        <v>1</v>
      </c>
      <c r="R60" s="404">
        <v>1</v>
      </c>
      <c r="S60" s="404">
        <v>1</v>
      </c>
      <c r="T60" s="404">
        <v>1</v>
      </c>
      <c r="U60" s="404">
        <v>1</v>
      </c>
      <c r="V60" s="404">
        <v>1</v>
      </c>
      <c r="W60" s="404">
        <v>1</v>
      </c>
      <c r="X60" s="404">
        <v>1</v>
      </c>
      <c r="Y60" s="404" t="s">
        <v>1048</v>
      </c>
    </row>
    <row r="61" spans="3:25" x14ac:dyDescent="0.25">
      <c r="C61" s="68" t="str">
        <f>'G-1 All Habitats'!B40</f>
        <v>Lakes - Ornamental lake or pond</v>
      </c>
      <c r="D61" s="404" t="s">
        <v>1048</v>
      </c>
      <c r="E61" s="404" t="s">
        <v>1048</v>
      </c>
      <c r="F61" s="404">
        <v>1</v>
      </c>
      <c r="G61" s="404">
        <v>2</v>
      </c>
      <c r="H61" s="404">
        <v>3</v>
      </c>
      <c r="I61" s="404">
        <v>4</v>
      </c>
      <c r="J61" s="404">
        <v>5</v>
      </c>
      <c r="K61" s="404" t="s">
        <v>1048</v>
      </c>
      <c r="L61" s="404" t="s">
        <v>1048</v>
      </c>
      <c r="M61" s="404" t="s">
        <v>1048</v>
      </c>
      <c r="N61" s="404" t="s">
        <v>1048</v>
      </c>
      <c r="O61" s="404">
        <v>2</v>
      </c>
      <c r="P61" s="404">
        <v>4</v>
      </c>
      <c r="Q61" s="404">
        <v>6</v>
      </c>
      <c r="R61" s="404">
        <v>8</v>
      </c>
      <c r="S61" s="404">
        <v>2</v>
      </c>
      <c r="T61" s="404">
        <v>4</v>
      </c>
      <c r="U61" s="404">
        <v>6</v>
      </c>
      <c r="V61" s="404">
        <v>2</v>
      </c>
      <c r="W61" s="404">
        <v>4</v>
      </c>
      <c r="X61" s="404">
        <v>2</v>
      </c>
      <c r="Y61" s="404" t="s">
        <v>1048</v>
      </c>
    </row>
    <row r="62" spans="3:25" x14ac:dyDescent="0.25">
      <c r="C62" s="68" t="str">
        <f>'G-1 All Habitats'!B60</f>
        <v>Urban - Artificial unvegetated, unsealed surface</v>
      </c>
      <c r="D62" s="404" t="s">
        <v>1048</v>
      </c>
      <c r="E62" s="404" t="s">
        <v>1048</v>
      </c>
      <c r="F62" s="404" t="s">
        <v>1048</v>
      </c>
      <c r="G62" s="404" t="s">
        <v>1048</v>
      </c>
      <c r="H62" s="404" t="s">
        <v>1048</v>
      </c>
      <c r="I62" s="404" t="s">
        <v>1048</v>
      </c>
      <c r="J62" s="404" t="s">
        <v>1048</v>
      </c>
      <c r="K62" s="404" t="s">
        <v>1048</v>
      </c>
      <c r="L62" s="404" t="s">
        <v>1048</v>
      </c>
      <c r="M62" s="404" t="s">
        <v>1048</v>
      </c>
      <c r="N62" s="404" t="s">
        <v>1048</v>
      </c>
      <c r="O62" s="404" t="s">
        <v>1048</v>
      </c>
      <c r="P62" s="404" t="s">
        <v>1048</v>
      </c>
      <c r="Q62" s="404" t="s">
        <v>1048</v>
      </c>
      <c r="R62" s="404" t="s">
        <v>1048</v>
      </c>
      <c r="S62" s="404" t="s">
        <v>1048</v>
      </c>
      <c r="T62" s="404" t="s">
        <v>1048</v>
      </c>
      <c r="U62" s="404" t="s">
        <v>1048</v>
      </c>
      <c r="V62" s="404" t="s">
        <v>1048</v>
      </c>
      <c r="W62" s="404" t="s">
        <v>1048</v>
      </c>
      <c r="X62" s="404" t="s">
        <v>1048</v>
      </c>
      <c r="Y62" s="404" t="s">
        <v>1048</v>
      </c>
    </row>
    <row r="63" spans="3:25" x14ac:dyDescent="0.25">
      <c r="C63" s="68" t="str">
        <f>'G-1 All Habitats'!B61</f>
        <v>Urban - Bioswale</v>
      </c>
      <c r="D63" s="404" t="s">
        <v>1048</v>
      </c>
      <c r="E63" s="404" t="s">
        <v>1048</v>
      </c>
      <c r="F63" s="404">
        <v>1</v>
      </c>
      <c r="G63" s="404">
        <v>1</v>
      </c>
      <c r="H63" s="404">
        <v>1</v>
      </c>
      <c r="I63" s="404">
        <v>2</v>
      </c>
      <c r="J63" s="404">
        <v>3</v>
      </c>
      <c r="K63" s="404" t="s">
        <v>1048</v>
      </c>
      <c r="L63" s="404" t="s">
        <v>1048</v>
      </c>
      <c r="M63" s="404" t="s">
        <v>1048</v>
      </c>
      <c r="N63" s="404" t="s">
        <v>1048</v>
      </c>
      <c r="O63" s="404">
        <v>1</v>
      </c>
      <c r="P63" s="404">
        <v>2</v>
      </c>
      <c r="Q63" s="404">
        <v>2</v>
      </c>
      <c r="R63" s="404">
        <v>3</v>
      </c>
      <c r="S63" s="404">
        <v>1</v>
      </c>
      <c r="T63" s="404">
        <v>3</v>
      </c>
      <c r="U63" s="404">
        <v>3</v>
      </c>
      <c r="V63" s="404">
        <v>2</v>
      </c>
      <c r="W63" s="404">
        <v>2</v>
      </c>
      <c r="X63" s="404">
        <v>2</v>
      </c>
      <c r="Y63" s="404" t="s">
        <v>1048</v>
      </c>
    </row>
    <row r="64" spans="3:25" x14ac:dyDescent="0.25">
      <c r="C64" s="68" t="str">
        <f>'G-1 All Habitats'!B62</f>
        <v>Urban - Intensive green roof</v>
      </c>
      <c r="D64" s="404" t="s">
        <v>1048</v>
      </c>
      <c r="E64" s="404" t="s">
        <v>1048</v>
      </c>
      <c r="F64" s="404">
        <v>1</v>
      </c>
      <c r="G64" s="404">
        <v>2</v>
      </c>
      <c r="H64" s="404">
        <v>3</v>
      </c>
      <c r="I64" s="404">
        <v>4</v>
      </c>
      <c r="J64" s="404">
        <v>5</v>
      </c>
      <c r="K64" s="404" t="s">
        <v>1048</v>
      </c>
      <c r="L64" s="404" t="s">
        <v>1048</v>
      </c>
      <c r="M64" s="404" t="s">
        <v>1048</v>
      </c>
      <c r="N64" s="404" t="s">
        <v>1048</v>
      </c>
      <c r="O64" s="404">
        <v>1</v>
      </c>
      <c r="P64" s="404">
        <v>2</v>
      </c>
      <c r="Q64" s="404">
        <v>3</v>
      </c>
      <c r="R64" s="404">
        <v>5</v>
      </c>
      <c r="S64" s="404">
        <v>1</v>
      </c>
      <c r="T64" s="404">
        <v>2</v>
      </c>
      <c r="U64" s="404">
        <v>3</v>
      </c>
      <c r="V64" s="404">
        <v>1</v>
      </c>
      <c r="W64" s="404">
        <v>2</v>
      </c>
      <c r="X64" s="404">
        <v>1</v>
      </c>
      <c r="Y64" s="404" t="s">
        <v>1048</v>
      </c>
    </row>
    <row r="65" spans="3:25" x14ac:dyDescent="0.25">
      <c r="C65" s="68" t="str">
        <f>'G-1 All Habitats'!B63</f>
        <v>Urban - Built linear features</v>
      </c>
      <c r="D65" s="404" t="s">
        <v>1048</v>
      </c>
      <c r="E65" s="404" t="s">
        <v>1048</v>
      </c>
      <c r="F65" s="404" t="s">
        <v>1048</v>
      </c>
      <c r="G65" s="404" t="s">
        <v>1048</v>
      </c>
      <c r="H65" s="404" t="s">
        <v>1048</v>
      </c>
      <c r="I65" s="404" t="s">
        <v>1048</v>
      </c>
      <c r="J65" s="404" t="s">
        <v>1048</v>
      </c>
      <c r="K65" s="404" t="s">
        <v>1048</v>
      </c>
      <c r="L65" s="404" t="s">
        <v>1048</v>
      </c>
      <c r="M65" s="404" t="s">
        <v>1048</v>
      </c>
      <c r="N65" s="404" t="s">
        <v>1048</v>
      </c>
      <c r="O65" s="404" t="s">
        <v>1048</v>
      </c>
      <c r="P65" s="404" t="s">
        <v>1048</v>
      </c>
      <c r="Q65" s="404" t="s">
        <v>1048</v>
      </c>
      <c r="R65" s="404" t="s">
        <v>1048</v>
      </c>
      <c r="S65" s="404" t="s">
        <v>1048</v>
      </c>
      <c r="T65" s="404" t="s">
        <v>1048</v>
      </c>
      <c r="U65" s="404" t="s">
        <v>1048</v>
      </c>
      <c r="V65" s="404" t="s">
        <v>1048</v>
      </c>
      <c r="W65" s="404" t="s">
        <v>1048</v>
      </c>
      <c r="X65" s="404" t="s">
        <v>1048</v>
      </c>
      <c r="Y65" s="404" t="s">
        <v>1048</v>
      </c>
    </row>
    <row r="66" spans="3:25" x14ac:dyDescent="0.25">
      <c r="C66" s="68" t="str">
        <f>'G-1 All Habitats'!B64</f>
        <v>Urban - Cemeteries and churchyards</v>
      </c>
      <c r="D66" s="404" t="s">
        <v>1048</v>
      </c>
      <c r="E66" s="404" t="s">
        <v>1048</v>
      </c>
      <c r="F66" s="404">
        <v>10</v>
      </c>
      <c r="G66" s="404">
        <v>12</v>
      </c>
      <c r="H66" s="404">
        <v>15</v>
      </c>
      <c r="I66" s="404">
        <v>17</v>
      </c>
      <c r="J66" s="404">
        <v>20</v>
      </c>
      <c r="K66" s="404" t="s">
        <v>1048</v>
      </c>
      <c r="L66" s="404" t="s">
        <v>1048</v>
      </c>
      <c r="M66" s="404" t="s">
        <v>1048</v>
      </c>
      <c r="N66" s="404" t="s">
        <v>1048</v>
      </c>
      <c r="O66" s="404">
        <v>5</v>
      </c>
      <c r="P66" s="404">
        <v>10</v>
      </c>
      <c r="Q66" s="404">
        <v>15</v>
      </c>
      <c r="R66" s="404">
        <v>20</v>
      </c>
      <c r="S66" s="404">
        <v>10</v>
      </c>
      <c r="T66" s="404">
        <v>15</v>
      </c>
      <c r="U66" s="404">
        <v>20</v>
      </c>
      <c r="V66" s="404">
        <v>10</v>
      </c>
      <c r="W66" s="404">
        <v>15</v>
      </c>
      <c r="X66" s="404">
        <v>5</v>
      </c>
      <c r="Y66" s="404" t="s">
        <v>1048</v>
      </c>
    </row>
    <row r="67" spans="3:25" x14ac:dyDescent="0.25">
      <c r="C67" s="68" t="str">
        <f>'G-1 All Habitats'!B65</f>
        <v>Urban - Developed land; sealed surface</v>
      </c>
      <c r="D67" s="404" t="s">
        <v>1048</v>
      </c>
      <c r="E67" s="404" t="s">
        <v>1048</v>
      </c>
      <c r="F67" s="404" t="s">
        <v>1048</v>
      </c>
      <c r="G67" s="404" t="s">
        <v>1048</v>
      </c>
      <c r="H67" s="404" t="s">
        <v>1048</v>
      </c>
      <c r="I67" s="404" t="s">
        <v>1048</v>
      </c>
      <c r="J67" s="404" t="s">
        <v>1048</v>
      </c>
      <c r="K67" s="404" t="s">
        <v>1048</v>
      </c>
      <c r="L67" s="404" t="s">
        <v>1048</v>
      </c>
      <c r="M67" s="404" t="s">
        <v>1048</v>
      </c>
      <c r="N67" s="404" t="s">
        <v>1048</v>
      </c>
      <c r="O67" s="404" t="s">
        <v>1048</v>
      </c>
      <c r="P67" s="404" t="s">
        <v>1048</v>
      </c>
      <c r="Q67" s="404" t="s">
        <v>1048</v>
      </c>
      <c r="R67" s="404" t="s">
        <v>1048</v>
      </c>
      <c r="S67" s="404" t="s">
        <v>1048</v>
      </c>
      <c r="T67" s="404" t="s">
        <v>1048</v>
      </c>
      <c r="U67" s="404" t="s">
        <v>1048</v>
      </c>
      <c r="V67" s="404" t="s">
        <v>1048</v>
      </c>
      <c r="W67" s="404" t="s">
        <v>1048</v>
      </c>
      <c r="X67" s="404" t="s">
        <v>1048</v>
      </c>
      <c r="Y67" s="404" t="s">
        <v>1048</v>
      </c>
    </row>
    <row r="68" spans="3:25" x14ac:dyDescent="0.25">
      <c r="C68" s="68" t="str">
        <f>'G-1 All Habitats'!B66</f>
        <v>Urban - Other green roof</v>
      </c>
      <c r="D68" s="404" t="s">
        <v>1048</v>
      </c>
      <c r="E68" s="404" t="s">
        <v>1048</v>
      </c>
      <c r="F68" s="404" t="s">
        <v>1048</v>
      </c>
      <c r="G68" s="404" t="s">
        <v>1048</v>
      </c>
      <c r="H68" s="404" t="s">
        <v>1048</v>
      </c>
      <c r="I68" s="404" t="s">
        <v>1048</v>
      </c>
      <c r="J68" s="404" t="s">
        <v>1048</v>
      </c>
      <c r="K68" s="404" t="s">
        <v>1048</v>
      </c>
      <c r="L68" s="404" t="s">
        <v>1048</v>
      </c>
      <c r="M68" s="404" t="s">
        <v>1048</v>
      </c>
      <c r="N68" s="404" t="s">
        <v>1048</v>
      </c>
      <c r="O68" s="404" t="s">
        <v>1048</v>
      </c>
      <c r="P68" s="404" t="s">
        <v>1048</v>
      </c>
      <c r="Q68" s="404" t="s">
        <v>1048</v>
      </c>
      <c r="R68" s="404" t="s">
        <v>1048</v>
      </c>
      <c r="S68" s="404" t="s">
        <v>1048</v>
      </c>
      <c r="T68" s="404" t="s">
        <v>1048</v>
      </c>
      <c r="U68" s="404" t="s">
        <v>1048</v>
      </c>
      <c r="V68" s="404" t="s">
        <v>1048</v>
      </c>
      <c r="W68" s="404" t="s">
        <v>1048</v>
      </c>
      <c r="X68" s="404" t="s">
        <v>1048</v>
      </c>
      <c r="Y68" s="404" t="s">
        <v>1048</v>
      </c>
    </row>
    <row r="69" spans="3:25" x14ac:dyDescent="0.25">
      <c r="C69" s="68" t="str">
        <f>'G-1 All Habitats'!B67</f>
        <v>Urban - Facade-bound green wall</v>
      </c>
      <c r="D69" s="404" t="s">
        <v>1048</v>
      </c>
      <c r="E69" s="404" t="s">
        <v>1048</v>
      </c>
      <c r="F69" s="404">
        <v>1</v>
      </c>
      <c r="G69" s="404">
        <v>2</v>
      </c>
      <c r="H69" s="404">
        <v>3</v>
      </c>
      <c r="I69" s="404">
        <v>4</v>
      </c>
      <c r="J69" s="404">
        <v>5</v>
      </c>
      <c r="K69" s="404" t="s">
        <v>1048</v>
      </c>
      <c r="L69" s="404" t="s">
        <v>1048</v>
      </c>
      <c r="M69" s="404" t="s">
        <v>1048</v>
      </c>
      <c r="N69" s="404" t="s">
        <v>1048</v>
      </c>
      <c r="O69" s="404">
        <v>1</v>
      </c>
      <c r="P69" s="404">
        <v>2</v>
      </c>
      <c r="Q69" s="404">
        <v>3</v>
      </c>
      <c r="R69" s="404">
        <v>5</v>
      </c>
      <c r="S69" s="404">
        <v>1</v>
      </c>
      <c r="T69" s="404">
        <v>2</v>
      </c>
      <c r="U69" s="404">
        <v>3</v>
      </c>
      <c r="V69" s="404">
        <v>1</v>
      </c>
      <c r="W69" s="404">
        <v>2</v>
      </c>
      <c r="X69" s="404">
        <v>1</v>
      </c>
      <c r="Y69" s="404" t="s">
        <v>1048</v>
      </c>
    </row>
    <row r="70" spans="3:25" x14ac:dyDescent="0.25">
      <c r="C70" s="68" t="str">
        <f>'G-1 All Habitats'!B68</f>
        <v>Urban - Ground based green wall</v>
      </c>
      <c r="D70" s="404" t="s">
        <v>1048</v>
      </c>
      <c r="E70" s="404" t="s">
        <v>1048</v>
      </c>
      <c r="F70" s="404">
        <v>1</v>
      </c>
      <c r="G70" s="404">
        <v>2</v>
      </c>
      <c r="H70" s="404">
        <v>3</v>
      </c>
      <c r="I70" s="404">
        <v>4</v>
      </c>
      <c r="J70" s="404">
        <v>5</v>
      </c>
      <c r="K70" s="404" t="s">
        <v>1048</v>
      </c>
      <c r="L70" s="404" t="s">
        <v>1048</v>
      </c>
      <c r="M70" s="404" t="s">
        <v>1048</v>
      </c>
      <c r="N70" s="404" t="s">
        <v>1048</v>
      </c>
      <c r="O70" s="404">
        <v>1</v>
      </c>
      <c r="P70" s="404">
        <v>2</v>
      </c>
      <c r="Q70" s="404">
        <v>3</v>
      </c>
      <c r="R70" s="404">
        <v>5</v>
      </c>
      <c r="S70" s="404">
        <v>1</v>
      </c>
      <c r="T70" s="404">
        <v>2</v>
      </c>
      <c r="U70" s="404">
        <v>3</v>
      </c>
      <c r="V70" s="404">
        <v>1</v>
      </c>
      <c r="W70" s="404">
        <v>2</v>
      </c>
      <c r="X70" s="404">
        <v>1</v>
      </c>
      <c r="Y70" s="404" t="s">
        <v>1048</v>
      </c>
    </row>
    <row r="71" spans="3:25" x14ac:dyDescent="0.25">
      <c r="C71" s="68" t="str">
        <f>'G-1 All Habitats'!B69</f>
        <v>Urban - Ground level planters</v>
      </c>
      <c r="D71" s="404" t="s">
        <v>1048</v>
      </c>
      <c r="E71" s="404" t="s">
        <v>1048</v>
      </c>
      <c r="F71" s="404" t="s">
        <v>1048</v>
      </c>
      <c r="G71" s="404" t="s">
        <v>1048</v>
      </c>
      <c r="H71" s="404" t="s">
        <v>1048</v>
      </c>
      <c r="I71" s="404" t="s">
        <v>1048</v>
      </c>
      <c r="J71" s="404" t="s">
        <v>1048</v>
      </c>
      <c r="K71" s="404" t="s">
        <v>1048</v>
      </c>
      <c r="L71" s="404" t="s">
        <v>1048</v>
      </c>
      <c r="M71" s="404" t="s">
        <v>1048</v>
      </c>
      <c r="N71" s="404" t="s">
        <v>1048</v>
      </c>
      <c r="O71" s="404" t="s">
        <v>1048</v>
      </c>
      <c r="P71" s="404" t="s">
        <v>1048</v>
      </c>
      <c r="Q71" s="404" t="s">
        <v>1048</v>
      </c>
      <c r="R71" s="404" t="s">
        <v>1048</v>
      </c>
      <c r="S71" s="404" t="s">
        <v>1048</v>
      </c>
      <c r="T71" s="404" t="s">
        <v>1048</v>
      </c>
      <c r="U71" s="404" t="s">
        <v>1048</v>
      </c>
      <c r="V71" s="404" t="s">
        <v>1048</v>
      </c>
      <c r="W71" s="404" t="s">
        <v>1048</v>
      </c>
      <c r="X71" s="404" t="s">
        <v>1048</v>
      </c>
      <c r="Y71" s="404" t="s">
        <v>1048</v>
      </c>
    </row>
    <row r="72" spans="3:25" x14ac:dyDescent="0.25">
      <c r="C72" s="68" t="str">
        <f>'G-1 All Habitats'!B70</f>
        <v>Urban - Biodiverse green roof</v>
      </c>
      <c r="D72" s="404" t="s">
        <v>1048</v>
      </c>
      <c r="E72" s="404" t="s">
        <v>1048</v>
      </c>
      <c r="F72" s="404">
        <v>1</v>
      </c>
      <c r="G72" s="404">
        <v>3</v>
      </c>
      <c r="H72" s="404">
        <v>5</v>
      </c>
      <c r="I72" s="404">
        <v>8</v>
      </c>
      <c r="J72" s="404">
        <v>10</v>
      </c>
      <c r="K72" s="404" t="s">
        <v>1048</v>
      </c>
      <c r="L72" s="404" t="s">
        <v>1048</v>
      </c>
      <c r="M72" s="404" t="s">
        <v>1048</v>
      </c>
      <c r="N72" s="404" t="s">
        <v>1048</v>
      </c>
      <c r="O72" s="404">
        <v>3</v>
      </c>
      <c r="P72" s="404">
        <v>5</v>
      </c>
      <c r="Q72" s="404">
        <v>8</v>
      </c>
      <c r="R72" s="404">
        <v>10</v>
      </c>
      <c r="S72" s="404">
        <v>3</v>
      </c>
      <c r="T72" s="404">
        <v>8</v>
      </c>
      <c r="U72" s="404">
        <v>8</v>
      </c>
      <c r="V72" s="404">
        <v>3</v>
      </c>
      <c r="W72" s="404">
        <v>5</v>
      </c>
      <c r="X72" s="404">
        <v>2</v>
      </c>
      <c r="Y72" s="404" t="s">
        <v>1048</v>
      </c>
    </row>
    <row r="73" spans="3:25" x14ac:dyDescent="0.25">
      <c r="C73" s="68" t="str">
        <f>'G-1 All Habitats'!B71</f>
        <v>Urban - Introduced shrub</v>
      </c>
      <c r="D73" s="404" t="s">
        <v>1048</v>
      </c>
      <c r="E73" s="404" t="s">
        <v>1048</v>
      </c>
      <c r="F73" s="404" t="s">
        <v>1048</v>
      </c>
      <c r="G73" s="404" t="s">
        <v>1048</v>
      </c>
      <c r="H73" s="404" t="s">
        <v>1048</v>
      </c>
      <c r="I73" s="404" t="s">
        <v>1048</v>
      </c>
      <c r="J73" s="404" t="s">
        <v>1048</v>
      </c>
      <c r="K73" s="404" t="s">
        <v>1048</v>
      </c>
      <c r="L73" s="404" t="s">
        <v>1048</v>
      </c>
      <c r="M73" s="404" t="s">
        <v>1048</v>
      </c>
      <c r="N73" s="404" t="s">
        <v>1048</v>
      </c>
      <c r="O73" s="404" t="s">
        <v>1048</v>
      </c>
      <c r="P73" s="404" t="s">
        <v>1048</v>
      </c>
      <c r="Q73" s="404" t="s">
        <v>1048</v>
      </c>
      <c r="R73" s="404" t="s">
        <v>1048</v>
      </c>
      <c r="S73" s="404" t="s">
        <v>1048</v>
      </c>
      <c r="T73" s="404" t="s">
        <v>1048</v>
      </c>
      <c r="U73" s="404" t="s">
        <v>1048</v>
      </c>
      <c r="V73" s="404" t="s">
        <v>1048</v>
      </c>
      <c r="W73" s="404" t="s">
        <v>1048</v>
      </c>
      <c r="X73" s="404" t="s">
        <v>1048</v>
      </c>
      <c r="Y73" s="404" t="s">
        <v>1048</v>
      </c>
    </row>
    <row r="74" spans="3:25" x14ac:dyDescent="0.25">
      <c r="C74" s="68" t="str">
        <f>'G-1 All Habitats'!B72</f>
        <v>Urban - Open mosaic habitats on previously developed land</v>
      </c>
      <c r="D74" s="404" t="s">
        <v>1048</v>
      </c>
      <c r="E74" s="404" t="s">
        <v>1048</v>
      </c>
      <c r="F74" s="404">
        <v>0</v>
      </c>
      <c r="G74" s="404">
        <v>2</v>
      </c>
      <c r="H74" s="404">
        <v>4</v>
      </c>
      <c r="I74" s="404">
        <v>7</v>
      </c>
      <c r="J74" s="404">
        <v>10</v>
      </c>
      <c r="K74" s="404" t="s">
        <v>1048</v>
      </c>
      <c r="L74" s="404" t="s">
        <v>1048</v>
      </c>
      <c r="M74" s="404" t="s">
        <v>1048</v>
      </c>
      <c r="N74" s="404" t="s">
        <v>1048</v>
      </c>
      <c r="O74" s="404">
        <v>2</v>
      </c>
      <c r="P74" s="404">
        <v>4</v>
      </c>
      <c r="Q74" s="404">
        <v>7</v>
      </c>
      <c r="R74" s="404">
        <v>10</v>
      </c>
      <c r="S74" s="404">
        <v>2</v>
      </c>
      <c r="T74" s="404">
        <v>5</v>
      </c>
      <c r="U74" s="404">
        <v>8</v>
      </c>
      <c r="V74" s="404">
        <v>3</v>
      </c>
      <c r="W74" s="404">
        <v>4</v>
      </c>
      <c r="X74" s="404">
        <v>3</v>
      </c>
      <c r="Y74" s="404" t="s">
        <v>1048</v>
      </c>
    </row>
    <row r="75" spans="3:25" x14ac:dyDescent="0.25">
      <c r="C75" s="68" t="str">
        <f>'G-1 All Habitats'!B73</f>
        <v>Urban - Rain garden</v>
      </c>
      <c r="D75" s="404" t="s">
        <v>1048</v>
      </c>
      <c r="E75" s="404" t="s">
        <v>1048</v>
      </c>
      <c r="F75" s="404">
        <v>1</v>
      </c>
      <c r="G75" s="404">
        <v>1</v>
      </c>
      <c r="H75" s="404">
        <v>1</v>
      </c>
      <c r="I75" s="404">
        <v>1</v>
      </c>
      <c r="J75" s="404">
        <v>1</v>
      </c>
      <c r="K75" s="404" t="s">
        <v>1048</v>
      </c>
      <c r="L75" s="404" t="s">
        <v>1048</v>
      </c>
      <c r="M75" s="404" t="s">
        <v>1048</v>
      </c>
      <c r="N75" s="404" t="s">
        <v>1048</v>
      </c>
      <c r="O75" s="404">
        <v>1</v>
      </c>
      <c r="P75" s="404">
        <v>1</v>
      </c>
      <c r="Q75" s="404">
        <v>1</v>
      </c>
      <c r="R75" s="404">
        <v>1</v>
      </c>
      <c r="S75" s="404">
        <v>1</v>
      </c>
      <c r="T75" s="404">
        <v>1</v>
      </c>
      <c r="U75" s="404">
        <v>1</v>
      </c>
      <c r="V75" s="404">
        <v>1</v>
      </c>
      <c r="W75" s="404">
        <v>1</v>
      </c>
      <c r="X75" s="404">
        <v>1</v>
      </c>
      <c r="Y75" s="404" t="s">
        <v>1048</v>
      </c>
    </row>
    <row r="76" spans="3:25" x14ac:dyDescent="0.25">
      <c r="C76" s="68" t="str">
        <f>'G-1 All Habitats'!B74</f>
        <v>Urban - Actively worked sand pit quarry or open cast mine</v>
      </c>
      <c r="D76" s="404" t="s">
        <v>1048</v>
      </c>
      <c r="E76" s="404" t="s">
        <v>1048</v>
      </c>
      <c r="F76" s="404">
        <v>1</v>
      </c>
      <c r="G76" s="404" t="s">
        <v>1048</v>
      </c>
      <c r="H76" s="404" t="s">
        <v>1048</v>
      </c>
      <c r="I76" s="404" t="s">
        <v>1048</v>
      </c>
      <c r="J76" s="404" t="s">
        <v>1048</v>
      </c>
      <c r="K76" s="404" t="s">
        <v>1048</v>
      </c>
      <c r="L76" s="404" t="s">
        <v>1048</v>
      </c>
      <c r="M76" s="404" t="s">
        <v>1048</v>
      </c>
      <c r="N76" s="404" t="s">
        <v>1048</v>
      </c>
      <c r="O76" s="404" t="s">
        <v>1048</v>
      </c>
      <c r="P76" s="404" t="s">
        <v>1048</v>
      </c>
      <c r="Q76" s="404" t="s">
        <v>1048</v>
      </c>
      <c r="R76" s="404" t="s">
        <v>1048</v>
      </c>
      <c r="S76" s="404" t="s">
        <v>1048</v>
      </c>
      <c r="T76" s="404" t="s">
        <v>1048</v>
      </c>
      <c r="U76" s="404" t="s">
        <v>1048</v>
      </c>
      <c r="V76" s="404" t="s">
        <v>1048</v>
      </c>
      <c r="W76" s="404" t="s">
        <v>1048</v>
      </c>
      <c r="X76" s="404" t="s">
        <v>1048</v>
      </c>
      <c r="Y76" s="404" t="s">
        <v>1048</v>
      </c>
    </row>
    <row r="77" spans="3:25" x14ac:dyDescent="0.25">
      <c r="C77" s="68" t="str">
        <f>'G-1 All Habitats'!B80</f>
        <v>Individual trees - Urban tree</v>
      </c>
      <c r="D77" s="404" t="s">
        <v>1048</v>
      </c>
      <c r="E77" s="404" t="s">
        <v>1048</v>
      </c>
      <c r="F77" s="404" t="s">
        <v>1048</v>
      </c>
      <c r="G77" s="404" t="s">
        <v>1048</v>
      </c>
      <c r="H77" s="404" t="s">
        <v>1048</v>
      </c>
      <c r="I77" s="404" t="s">
        <v>1048</v>
      </c>
      <c r="J77" s="404" t="s">
        <v>1048</v>
      </c>
      <c r="K77" s="404" t="s">
        <v>1048</v>
      </c>
      <c r="L77" s="404" t="s">
        <v>1048</v>
      </c>
      <c r="M77" s="404" t="s">
        <v>1048</v>
      </c>
      <c r="N77" s="404" t="s">
        <v>1048</v>
      </c>
      <c r="O77" s="404">
        <v>8</v>
      </c>
      <c r="P77" s="404">
        <v>16</v>
      </c>
      <c r="Q77" s="404">
        <v>24</v>
      </c>
      <c r="R77" s="404" t="s">
        <v>1049</v>
      </c>
      <c r="S77" s="404">
        <v>8</v>
      </c>
      <c r="T77" s="404">
        <v>16</v>
      </c>
      <c r="U77" s="404">
        <v>24</v>
      </c>
      <c r="V77" s="404">
        <v>8</v>
      </c>
      <c r="W77" s="404">
        <v>16</v>
      </c>
      <c r="X77" s="404">
        <v>8</v>
      </c>
      <c r="Y77" s="404" t="s">
        <v>1048</v>
      </c>
    </row>
    <row r="78" spans="3:25" x14ac:dyDescent="0.25">
      <c r="C78" s="68" t="str">
        <f>'G-1 All Habitats'!B75</f>
        <v>Urban - Sustainable drainage system</v>
      </c>
      <c r="D78" s="404" t="s">
        <v>1048</v>
      </c>
      <c r="E78" s="404" t="s">
        <v>1048</v>
      </c>
      <c r="F78" s="404">
        <v>1</v>
      </c>
      <c r="G78" s="404">
        <v>2</v>
      </c>
      <c r="H78" s="404">
        <v>3</v>
      </c>
      <c r="I78" s="404">
        <v>4</v>
      </c>
      <c r="J78" s="404">
        <v>5</v>
      </c>
      <c r="K78" s="404" t="s">
        <v>1048</v>
      </c>
      <c r="L78" s="404" t="s">
        <v>1048</v>
      </c>
      <c r="M78" s="404" t="s">
        <v>1048</v>
      </c>
      <c r="N78" s="404" t="s">
        <v>1048</v>
      </c>
      <c r="O78" s="404">
        <v>1</v>
      </c>
      <c r="P78" s="404">
        <v>2</v>
      </c>
      <c r="Q78" s="404">
        <v>3</v>
      </c>
      <c r="R78" s="404">
        <v>5</v>
      </c>
      <c r="S78" s="404">
        <v>1</v>
      </c>
      <c r="T78" s="404">
        <v>2</v>
      </c>
      <c r="U78" s="404">
        <v>3</v>
      </c>
      <c r="V78" s="404">
        <v>1</v>
      </c>
      <c r="W78" s="404">
        <v>2</v>
      </c>
      <c r="X78" s="404">
        <v>1</v>
      </c>
      <c r="Y78" s="404" t="s">
        <v>1048</v>
      </c>
    </row>
    <row r="79" spans="3:25" x14ac:dyDescent="0.25">
      <c r="C79" s="68" t="str">
        <f>'G-1 All Habitats'!B76</f>
        <v>Urban - Unvegetated garden</v>
      </c>
      <c r="D79" s="404" t="s">
        <v>1048</v>
      </c>
      <c r="E79" s="404" t="s">
        <v>1048</v>
      </c>
      <c r="F79" s="404" t="s">
        <v>1048</v>
      </c>
      <c r="G79" s="404" t="s">
        <v>1048</v>
      </c>
      <c r="H79" s="404" t="s">
        <v>1048</v>
      </c>
      <c r="I79" s="404" t="s">
        <v>1048</v>
      </c>
      <c r="J79" s="404" t="s">
        <v>1048</v>
      </c>
      <c r="K79" s="404" t="s">
        <v>1048</v>
      </c>
      <c r="L79" s="404" t="s">
        <v>1048</v>
      </c>
      <c r="M79" s="404" t="s">
        <v>1048</v>
      </c>
      <c r="N79" s="404" t="s">
        <v>1048</v>
      </c>
      <c r="O79" s="404" t="s">
        <v>1048</v>
      </c>
      <c r="P79" s="404" t="s">
        <v>1048</v>
      </c>
      <c r="Q79" s="404" t="s">
        <v>1048</v>
      </c>
      <c r="R79" s="404" t="s">
        <v>1048</v>
      </c>
      <c r="S79" s="404" t="s">
        <v>1048</v>
      </c>
      <c r="T79" s="404" t="s">
        <v>1048</v>
      </c>
      <c r="U79" s="404" t="s">
        <v>1048</v>
      </c>
      <c r="V79" s="404" t="s">
        <v>1048</v>
      </c>
      <c r="W79" s="404" t="s">
        <v>1048</v>
      </c>
      <c r="X79" s="404" t="s">
        <v>1048</v>
      </c>
      <c r="Y79" s="404" t="s">
        <v>1048</v>
      </c>
    </row>
    <row r="80" spans="3:25" x14ac:dyDescent="0.25">
      <c r="C80" s="68" t="str">
        <f>'G-1 All Habitats'!B77</f>
        <v>Urban - Vacant or derelict land</v>
      </c>
      <c r="D80" s="404" t="s">
        <v>1048</v>
      </c>
      <c r="E80" s="404" t="s">
        <v>1048</v>
      </c>
      <c r="F80" s="404">
        <v>1</v>
      </c>
      <c r="G80" s="404">
        <v>1</v>
      </c>
      <c r="H80" s="404">
        <v>1</v>
      </c>
      <c r="I80" s="404">
        <v>1</v>
      </c>
      <c r="J80" s="404">
        <v>1</v>
      </c>
      <c r="K80" s="404" t="s">
        <v>1048</v>
      </c>
      <c r="L80" s="404" t="s">
        <v>1048</v>
      </c>
      <c r="M80" s="404" t="s">
        <v>1048</v>
      </c>
      <c r="N80" s="404" t="s">
        <v>1048</v>
      </c>
      <c r="O80" s="404">
        <v>1</v>
      </c>
      <c r="P80" s="404">
        <v>1</v>
      </c>
      <c r="Q80" s="404">
        <v>1</v>
      </c>
      <c r="R80" s="404">
        <v>1</v>
      </c>
      <c r="S80" s="404">
        <v>1</v>
      </c>
      <c r="T80" s="404">
        <v>1</v>
      </c>
      <c r="U80" s="404">
        <v>1</v>
      </c>
      <c r="V80" s="404">
        <v>1</v>
      </c>
      <c r="W80" s="404">
        <v>1</v>
      </c>
      <c r="X80" s="404">
        <v>1</v>
      </c>
      <c r="Y80" s="404" t="s">
        <v>1048</v>
      </c>
    </row>
    <row r="81" spans="3:25" x14ac:dyDescent="0.25">
      <c r="C81" s="68" t="s">
        <v>735</v>
      </c>
      <c r="D81" s="404" t="s">
        <v>1048</v>
      </c>
      <c r="E81" s="404" t="s">
        <v>1048</v>
      </c>
      <c r="F81" s="404">
        <v>1</v>
      </c>
      <c r="G81" s="404">
        <v>1</v>
      </c>
      <c r="H81" s="404">
        <v>1</v>
      </c>
      <c r="I81" s="404">
        <v>1</v>
      </c>
      <c r="J81" s="404">
        <v>1</v>
      </c>
      <c r="K81" s="404" t="s">
        <v>1048</v>
      </c>
      <c r="L81" s="404" t="s">
        <v>1048</v>
      </c>
      <c r="M81" s="404" t="s">
        <v>1048</v>
      </c>
      <c r="N81" s="404" t="s">
        <v>1048</v>
      </c>
      <c r="O81" s="404">
        <v>1</v>
      </c>
      <c r="P81" s="404">
        <v>1</v>
      </c>
      <c r="Q81" s="404">
        <v>1</v>
      </c>
      <c r="R81" s="404">
        <v>1</v>
      </c>
      <c r="S81" s="404">
        <v>1</v>
      </c>
      <c r="T81" s="404">
        <v>1</v>
      </c>
      <c r="U81" s="404">
        <v>1</v>
      </c>
      <c r="V81" s="404">
        <v>1</v>
      </c>
      <c r="W81" s="404">
        <v>1</v>
      </c>
      <c r="X81" s="404">
        <v>1</v>
      </c>
      <c r="Y81" s="404" t="s">
        <v>1048</v>
      </c>
    </row>
    <row r="82" spans="3:25" x14ac:dyDescent="0.25">
      <c r="C82" s="68" t="str">
        <f>'G-1 All Habitats'!B79</f>
        <v>Urban - Vegetated garden</v>
      </c>
      <c r="D82" s="404" t="s">
        <v>1048</v>
      </c>
      <c r="E82" s="404" t="s">
        <v>1048</v>
      </c>
      <c r="F82" s="404">
        <v>1</v>
      </c>
      <c r="G82" s="404">
        <v>2</v>
      </c>
      <c r="H82" s="404">
        <v>3</v>
      </c>
      <c r="I82" s="404">
        <v>4</v>
      </c>
      <c r="J82" s="404">
        <v>5</v>
      </c>
      <c r="K82" s="404" t="s">
        <v>1048</v>
      </c>
      <c r="L82" s="404" t="s">
        <v>1048</v>
      </c>
      <c r="M82" s="404" t="s">
        <v>1048</v>
      </c>
      <c r="N82" s="404" t="s">
        <v>1048</v>
      </c>
      <c r="O82" s="404">
        <v>1</v>
      </c>
      <c r="P82" s="404">
        <v>2</v>
      </c>
      <c r="Q82" s="404">
        <v>3</v>
      </c>
      <c r="R82" s="404">
        <v>5</v>
      </c>
      <c r="S82" s="404">
        <v>1</v>
      </c>
      <c r="T82" s="404">
        <v>2</v>
      </c>
      <c r="U82" s="404">
        <v>3</v>
      </c>
      <c r="V82" s="404">
        <v>1</v>
      </c>
      <c r="W82" s="404">
        <v>2</v>
      </c>
      <c r="X82" s="404">
        <v>1</v>
      </c>
      <c r="Y82" s="404" t="s">
        <v>1048</v>
      </c>
    </row>
    <row r="83" spans="3:25" x14ac:dyDescent="0.25">
      <c r="C83" s="68" t="str">
        <f>'G-1 All Habitats'!B82</f>
        <v>Wetland - Blanket bog</v>
      </c>
      <c r="D83" s="404" t="s">
        <v>1048</v>
      </c>
      <c r="E83" s="404" t="s">
        <v>1048</v>
      </c>
      <c r="F83" s="404">
        <v>15</v>
      </c>
      <c r="G83" s="404">
        <v>25</v>
      </c>
      <c r="H83" s="404">
        <v>30</v>
      </c>
      <c r="I83" s="404" t="s">
        <v>1049</v>
      </c>
      <c r="J83" s="404" t="s">
        <v>1049</v>
      </c>
      <c r="K83" s="404" t="s">
        <v>1048</v>
      </c>
      <c r="L83" s="404" t="s">
        <v>1048</v>
      </c>
      <c r="M83" s="404" t="s">
        <v>1048</v>
      </c>
      <c r="N83" s="404" t="s">
        <v>1048</v>
      </c>
      <c r="O83" s="404">
        <v>10</v>
      </c>
      <c r="P83" s="404">
        <v>20</v>
      </c>
      <c r="Q83" s="404" t="s">
        <v>1049</v>
      </c>
      <c r="R83" s="404">
        <v>30</v>
      </c>
      <c r="S83" s="404">
        <v>10</v>
      </c>
      <c r="T83" s="404" t="s">
        <v>1049</v>
      </c>
      <c r="U83" s="404" t="s">
        <v>1049</v>
      </c>
      <c r="V83" s="404">
        <v>30</v>
      </c>
      <c r="W83" s="404" t="s">
        <v>1049</v>
      </c>
      <c r="X83" s="404">
        <v>30</v>
      </c>
      <c r="Y83" s="404" t="s">
        <v>1048</v>
      </c>
    </row>
    <row r="84" spans="3:25" x14ac:dyDescent="0.25">
      <c r="C84" s="68" t="str">
        <f>'G-1 All Habitats'!B83</f>
        <v>Wetland - Depressions on peat substrates (H7150)</v>
      </c>
      <c r="D84" s="404" t="s">
        <v>1048</v>
      </c>
      <c r="E84" s="404" t="s">
        <v>1048</v>
      </c>
      <c r="F84" s="404">
        <v>15</v>
      </c>
      <c r="G84" s="404">
        <v>25</v>
      </c>
      <c r="H84" s="404">
        <v>30</v>
      </c>
      <c r="I84" s="404" t="s">
        <v>1049</v>
      </c>
      <c r="J84" s="404" t="s">
        <v>1049</v>
      </c>
      <c r="K84" s="404" t="s">
        <v>1048</v>
      </c>
      <c r="L84" s="404" t="s">
        <v>1048</v>
      </c>
      <c r="M84" s="404" t="s">
        <v>1048</v>
      </c>
      <c r="N84" s="404" t="s">
        <v>1048</v>
      </c>
      <c r="O84" s="404">
        <v>10</v>
      </c>
      <c r="P84" s="404">
        <v>20</v>
      </c>
      <c r="Q84" s="404">
        <v>25</v>
      </c>
      <c r="R84" s="404">
        <v>30</v>
      </c>
      <c r="S84" s="404">
        <v>10</v>
      </c>
      <c r="T84" s="404">
        <v>20</v>
      </c>
      <c r="U84" s="404">
        <v>25</v>
      </c>
      <c r="V84" s="404">
        <v>10</v>
      </c>
      <c r="W84" s="404">
        <v>20</v>
      </c>
      <c r="X84" s="404">
        <v>10</v>
      </c>
      <c r="Y84" s="404" t="s">
        <v>1048</v>
      </c>
    </row>
    <row r="85" spans="3:25" x14ac:dyDescent="0.25">
      <c r="C85" s="68" t="str">
        <f>'G-1 All Habitats'!B84</f>
        <v>Wetland - Fens (upland and lowland)</v>
      </c>
      <c r="D85" s="404" t="s">
        <v>1048</v>
      </c>
      <c r="E85" s="404" t="s">
        <v>1048</v>
      </c>
      <c r="F85" s="404">
        <v>10</v>
      </c>
      <c r="G85" s="404">
        <v>12</v>
      </c>
      <c r="H85" s="404">
        <v>15</v>
      </c>
      <c r="I85" s="404">
        <v>25</v>
      </c>
      <c r="J85" s="404">
        <v>30</v>
      </c>
      <c r="K85" s="404" t="s">
        <v>1048</v>
      </c>
      <c r="L85" s="404" t="s">
        <v>1048</v>
      </c>
      <c r="M85" s="404" t="s">
        <v>1048</v>
      </c>
      <c r="N85" s="404" t="s">
        <v>1048</v>
      </c>
      <c r="O85" s="404">
        <v>10</v>
      </c>
      <c r="P85" s="404">
        <v>12</v>
      </c>
      <c r="Q85" s="404">
        <v>15</v>
      </c>
      <c r="R85" s="404">
        <v>18</v>
      </c>
      <c r="S85" s="404">
        <v>10</v>
      </c>
      <c r="T85" s="404">
        <v>12</v>
      </c>
      <c r="U85" s="404">
        <v>15</v>
      </c>
      <c r="V85" s="404">
        <v>10</v>
      </c>
      <c r="W85" s="404">
        <v>12</v>
      </c>
      <c r="X85" s="404">
        <v>10</v>
      </c>
      <c r="Y85" s="404" t="s">
        <v>1048</v>
      </c>
    </row>
    <row r="86" spans="3:25" x14ac:dyDescent="0.25">
      <c r="C86" s="68" t="str">
        <f>'G-1 All Habitats'!B85</f>
        <v>Wetland - Lowland raised bog</v>
      </c>
      <c r="D86" s="404" t="s">
        <v>1048</v>
      </c>
      <c r="E86" s="404" t="s">
        <v>1048</v>
      </c>
      <c r="F86" s="404">
        <v>15</v>
      </c>
      <c r="G86" s="404">
        <v>20</v>
      </c>
      <c r="H86" s="404">
        <v>30</v>
      </c>
      <c r="I86" s="404" t="s">
        <v>1049</v>
      </c>
      <c r="J86" s="404" t="s">
        <v>1049</v>
      </c>
      <c r="K86" s="404" t="s">
        <v>1048</v>
      </c>
      <c r="L86" s="404" t="s">
        <v>1048</v>
      </c>
      <c r="M86" s="404" t="s">
        <v>1048</v>
      </c>
      <c r="N86" s="404" t="s">
        <v>1048</v>
      </c>
      <c r="O86" s="404">
        <v>10</v>
      </c>
      <c r="P86" s="404">
        <v>20</v>
      </c>
      <c r="Q86" s="404">
        <v>25</v>
      </c>
      <c r="R86" s="404">
        <v>30</v>
      </c>
      <c r="S86" s="404">
        <v>10</v>
      </c>
      <c r="T86" s="404">
        <v>20</v>
      </c>
      <c r="U86" s="404">
        <v>20</v>
      </c>
      <c r="V86" s="404">
        <v>10</v>
      </c>
      <c r="W86" s="404">
        <v>15</v>
      </c>
      <c r="X86" s="404">
        <v>10</v>
      </c>
      <c r="Y86" s="404" t="s">
        <v>1048</v>
      </c>
    </row>
    <row r="87" spans="3:25" x14ac:dyDescent="0.25">
      <c r="C87" s="68" t="str">
        <f>'G-1 All Habitats'!B86</f>
        <v>Wetland - Oceanic valley mire[1] (D2.1)</v>
      </c>
      <c r="D87" s="404" t="s">
        <v>1048</v>
      </c>
      <c r="E87" s="404" t="s">
        <v>1048</v>
      </c>
      <c r="F87" s="404">
        <v>15</v>
      </c>
      <c r="G87" s="404">
        <v>20</v>
      </c>
      <c r="H87" s="404">
        <v>30</v>
      </c>
      <c r="I87" s="404" t="s">
        <v>1049</v>
      </c>
      <c r="J87" s="404" t="s">
        <v>1049</v>
      </c>
      <c r="K87" s="404" t="s">
        <v>1048</v>
      </c>
      <c r="L87" s="404" t="s">
        <v>1048</v>
      </c>
      <c r="M87" s="404" t="s">
        <v>1048</v>
      </c>
      <c r="N87" s="404" t="s">
        <v>1048</v>
      </c>
      <c r="O87" s="404">
        <v>10</v>
      </c>
      <c r="P87" s="404">
        <v>20</v>
      </c>
      <c r="Q87" s="404">
        <v>25</v>
      </c>
      <c r="R87" s="404">
        <v>30</v>
      </c>
      <c r="S87" s="404">
        <v>10</v>
      </c>
      <c r="T87" s="404">
        <v>20</v>
      </c>
      <c r="U87" s="404">
        <v>20</v>
      </c>
      <c r="V87" s="404">
        <v>10</v>
      </c>
      <c r="W87" s="404">
        <v>15</v>
      </c>
      <c r="X87" s="404">
        <v>10</v>
      </c>
      <c r="Y87" s="404" t="s">
        <v>1048</v>
      </c>
    </row>
    <row r="88" spans="3:25" x14ac:dyDescent="0.25">
      <c r="C88" s="68" t="str">
        <f>'G-1 All Habitats'!B87</f>
        <v>Wetland - Purple moor grass and rush pastures</v>
      </c>
      <c r="D88" s="404" t="s">
        <v>1048</v>
      </c>
      <c r="E88" s="404" t="s">
        <v>1048</v>
      </c>
      <c r="F88" s="404">
        <v>10</v>
      </c>
      <c r="G88" s="404">
        <v>12</v>
      </c>
      <c r="H88" s="404">
        <v>15</v>
      </c>
      <c r="I88" s="404">
        <v>17</v>
      </c>
      <c r="J88" s="404">
        <v>20</v>
      </c>
      <c r="K88" s="404" t="s">
        <v>1048</v>
      </c>
      <c r="L88" s="404" t="s">
        <v>1048</v>
      </c>
      <c r="M88" s="404" t="s">
        <v>1048</v>
      </c>
      <c r="N88" s="404" t="s">
        <v>1048</v>
      </c>
      <c r="O88" s="404">
        <v>10</v>
      </c>
      <c r="P88" s="404">
        <v>10</v>
      </c>
      <c r="Q88" s="404">
        <v>15</v>
      </c>
      <c r="R88" s="404">
        <v>20</v>
      </c>
      <c r="S88" s="404">
        <v>10</v>
      </c>
      <c r="T88" s="404">
        <v>15</v>
      </c>
      <c r="U88" s="404">
        <v>20</v>
      </c>
      <c r="V88" s="404">
        <v>10</v>
      </c>
      <c r="W88" s="404">
        <v>15</v>
      </c>
      <c r="X88" s="404">
        <v>10</v>
      </c>
      <c r="Y88" s="404" t="s">
        <v>1048</v>
      </c>
    </row>
    <row r="89" spans="3:25" x14ac:dyDescent="0.25">
      <c r="C89" s="68" t="str">
        <f>'G-1 All Habitats'!B88</f>
        <v>Wetland - Reedbeds</v>
      </c>
      <c r="D89" s="404" t="s">
        <v>1048</v>
      </c>
      <c r="E89" s="404" t="s">
        <v>1048</v>
      </c>
      <c r="F89" s="404">
        <v>5</v>
      </c>
      <c r="G89" s="404">
        <v>7</v>
      </c>
      <c r="H89" s="404">
        <v>10</v>
      </c>
      <c r="I89" s="404">
        <v>12</v>
      </c>
      <c r="J89" s="404">
        <v>15</v>
      </c>
      <c r="K89" s="404" t="s">
        <v>1048</v>
      </c>
      <c r="L89" s="404" t="s">
        <v>1048</v>
      </c>
      <c r="M89" s="404" t="s">
        <v>1048</v>
      </c>
      <c r="N89" s="404" t="s">
        <v>1048</v>
      </c>
      <c r="O89" s="404">
        <v>5</v>
      </c>
      <c r="P89" s="404">
        <v>7</v>
      </c>
      <c r="Q89" s="404">
        <v>10</v>
      </c>
      <c r="R89" s="404">
        <v>12</v>
      </c>
      <c r="S89" s="404">
        <v>5</v>
      </c>
      <c r="T89" s="404">
        <v>7</v>
      </c>
      <c r="U89" s="404">
        <v>10</v>
      </c>
      <c r="V89" s="404">
        <v>5</v>
      </c>
      <c r="W89" s="404">
        <v>7</v>
      </c>
      <c r="X89" s="404">
        <v>5</v>
      </c>
      <c r="Y89" s="404" t="s">
        <v>1048</v>
      </c>
    </row>
    <row r="90" spans="3:25" x14ac:dyDescent="0.25">
      <c r="C90" s="68" t="str">
        <f>'G-1 All Habitats'!B89</f>
        <v>Wetland - Transition mires and quaking bogs (H7140)</v>
      </c>
      <c r="D90" s="404" t="s">
        <v>1048</v>
      </c>
      <c r="E90" s="404" t="s">
        <v>1048</v>
      </c>
      <c r="F90" s="404">
        <v>15</v>
      </c>
      <c r="G90" s="404">
        <v>25</v>
      </c>
      <c r="H90" s="404">
        <v>30</v>
      </c>
      <c r="I90" s="404" t="s">
        <v>1049</v>
      </c>
      <c r="J90" s="404" t="s">
        <v>1049</v>
      </c>
      <c r="K90" s="404" t="s">
        <v>1048</v>
      </c>
      <c r="L90" s="404" t="s">
        <v>1048</v>
      </c>
      <c r="M90" s="404" t="s">
        <v>1048</v>
      </c>
      <c r="N90" s="404" t="s">
        <v>1048</v>
      </c>
      <c r="O90" s="404">
        <v>10</v>
      </c>
      <c r="P90" s="404">
        <v>20</v>
      </c>
      <c r="Q90" s="404">
        <v>25</v>
      </c>
      <c r="R90" s="404">
        <v>30</v>
      </c>
      <c r="S90" s="404">
        <v>10</v>
      </c>
      <c r="T90" s="404">
        <v>20</v>
      </c>
      <c r="U90" s="404">
        <v>20</v>
      </c>
      <c r="V90" s="404">
        <v>10</v>
      </c>
      <c r="W90" s="404">
        <v>15</v>
      </c>
      <c r="X90" s="404">
        <v>10</v>
      </c>
      <c r="Y90" s="404" t="s">
        <v>1048</v>
      </c>
    </row>
    <row r="91" spans="3:25" x14ac:dyDescent="0.25">
      <c r="C91" s="68" t="str">
        <f>'G-1 All Habitats'!B90</f>
        <v>Woodland and forest - Felled</v>
      </c>
      <c r="D91" s="404" t="s">
        <v>1048</v>
      </c>
      <c r="E91" s="404" t="s">
        <v>1048</v>
      </c>
      <c r="F91" s="404" t="s">
        <v>1048</v>
      </c>
      <c r="G91" s="404" t="s">
        <v>1048</v>
      </c>
      <c r="H91" s="404" t="s">
        <v>1048</v>
      </c>
      <c r="I91" s="404" t="s">
        <v>1048</v>
      </c>
      <c r="J91" s="404" t="s">
        <v>1048</v>
      </c>
      <c r="K91" s="404" t="s">
        <v>1048</v>
      </c>
      <c r="L91" s="404" t="s">
        <v>1048</v>
      </c>
      <c r="M91" s="404" t="s">
        <v>1048</v>
      </c>
      <c r="N91" s="404" t="s">
        <v>1048</v>
      </c>
      <c r="O91" s="404" t="s">
        <v>1048</v>
      </c>
      <c r="P91" s="404" t="s">
        <v>1048</v>
      </c>
      <c r="Q91" s="404" t="s">
        <v>1048</v>
      </c>
      <c r="R91" s="404" t="s">
        <v>1048</v>
      </c>
      <c r="S91" s="404" t="s">
        <v>1048</v>
      </c>
      <c r="T91" s="404" t="s">
        <v>1048</v>
      </c>
      <c r="U91" s="404" t="s">
        <v>1048</v>
      </c>
      <c r="V91" s="404" t="s">
        <v>1048</v>
      </c>
      <c r="W91" s="404" t="s">
        <v>1048</v>
      </c>
      <c r="X91" s="404" t="s">
        <v>1048</v>
      </c>
      <c r="Y91" s="404" t="s">
        <v>1048</v>
      </c>
    </row>
    <row r="92" spans="3:25" x14ac:dyDescent="0.25">
      <c r="C92" s="68" t="str">
        <f>'G-1 All Habitats'!B91</f>
        <v>Woodland and forest - Lowland beech and yew woodland</v>
      </c>
      <c r="D92" s="404" t="s">
        <v>1048</v>
      </c>
      <c r="E92" s="404" t="s">
        <v>1048</v>
      </c>
      <c r="F92" s="404">
        <v>10</v>
      </c>
      <c r="G92" s="404">
        <v>25</v>
      </c>
      <c r="H92" s="404" t="s">
        <v>1049</v>
      </c>
      <c r="I92" s="404" t="s">
        <v>1049</v>
      </c>
      <c r="J92" s="404" t="s">
        <v>1049</v>
      </c>
      <c r="K92" s="404" t="s">
        <v>1048</v>
      </c>
      <c r="L92" s="404" t="s">
        <v>1048</v>
      </c>
      <c r="M92" s="404" t="s">
        <v>1048</v>
      </c>
      <c r="N92" s="404" t="s">
        <v>1048</v>
      </c>
      <c r="O92" s="404">
        <v>25</v>
      </c>
      <c r="P92" s="404" t="s">
        <v>1049</v>
      </c>
      <c r="Q92" s="404" t="s">
        <v>1049</v>
      </c>
      <c r="R92" s="404" t="s">
        <v>1049</v>
      </c>
      <c r="S92" s="404" t="s">
        <v>1049</v>
      </c>
      <c r="T92" s="404" t="s">
        <v>1049</v>
      </c>
      <c r="U92" s="404" t="s">
        <v>1049</v>
      </c>
      <c r="V92" s="404" t="s">
        <v>1049</v>
      </c>
      <c r="W92" s="404" t="s">
        <v>1049</v>
      </c>
      <c r="X92" s="404" t="s">
        <v>1049</v>
      </c>
      <c r="Y92" s="404" t="s">
        <v>1048</v>
      </c>
    </row>
    <row r="93" spans="3:25" x14ac:dyDescent="0.25">
      <c r="C93" s="68" t="str">
        <f>'G-1 All Habitats'!B92</f>
        <v>Woodland and forest - Lowland mixed deciduous woodland</v>
      </c>
      <c r="D93" s="404" t="s">
        <v>1048</v>
      </c>
      <c r="E93" s="404" t="s">
        <v>1048</v>
      </c>
      <c r="F93" s="404">
        <v>10</v>
      </c>
      <c r="G93" s="404">
        <v>25</v>
      </c>
      <c r="H93" s="404" t="s">
        <v>1049</v>
      </c>
      <c r="I93" s="404" t="s">
        <v>1049</v>
      </c>
      <c r="J93" s="404" t="s">
        <v>1049</v>
      </c>
      <c r="K93" s="404" t="s">
        <v>1048</v>
      </c>
      <c r="L93" s="404" t="s">
        <v>1048</v>
      </c>
      <c r="M93" s="404" t="s">
        <v>1048</v>
      </c>
      <c r="N93" s="404" t="s">
        <v>1048</v>
      </c>
      <c r="O93" s="404">
        <v>10</v>
      </c>
      <c r="P93" s="404">
        <v>20</v>
      </c>
      <c r="Q93" s="404">
        <v>25</v>
      </c>
      <c r="R93" s="404" t="s">
        <v>1049</v>
      </c>
      <c r="S93" s="404">
        <v>10</v>
      </c>
      <c r="T93" s="404">
        <v>20</v>
      </c>
      <c r="U93" s="404">
        <v>25</v>
      </c>
      <c r="V93" s="404">
        <v>10</v>
      </c>
      <c r="W93" s="404">
        <v>20</v>
      </c>
      <c r="X93" s="404">
        <v>10</v>
      </c>
      <c r="Y93" s="404" t="s">
        <v>1048</v>
      </c>
    </row>
    <row r="94" spans="3:25" x14ac:dyDescent="0.25">
      <c r="C94" s="68" t="str">
        <f>'G-1 All Habitats'!B93</f>
        <v>Woodland and forest - Native pine woodlands</v>
      </c>
      <c r="D94" s="404" t="s">
        <v>1048</v>
      </c>
      <c r="E94" s="404" t="s">
        <v>1048</v>
      </c>
      <c r="F94" s="404">
        <v>25</v>
      </c>
      <c r="G94" s="404">
        <v>30</v>
      </c>
      <c r="H94" s="404" t="s">
        <v>1049</v>
      </c>
      <c r="I94" s="404" t="s">
        <v>1049</v>
      </c>
      <c r="J94" s="404" t="s">
        <v>1049</v>
      </c>
      <c r="K94" s="404" t="s">
        <v>1048</v>
      </c>
      <c r="L94" s="404" t="s">
        <v>1048</v>
      </c>
      <c r="M94" s="404" t="s">
        <v>1048</v>
      </c>
      <c r="N94" s="404" t="s">
        <v>1048</v>
      </c>
      <c r="O94" s="404">
        <v>10</v>
      </c>
      <c r="P94" s="404">
        <v>15</v>
      </c>
      <c r="Q94" s="404">
        <v>20</v>
      </c>
      <c r="R94" s="404" t="s">
        <v>1049</v>
      </c>
      <c r="S94" s="404">
        <v>15</v>
      </c>
      <c r="T94" s="404">
        <v>20</v>
      </c>
      <c r="U94" s="404">
        <v>25</v>
      </c>
      <c r="V94" s="404">
        <v>10</v>
      </c>
      <c r="W94" s="404">
        <v>15</v>
      </c>
      <c r="X94" s="404">
        <v>10</v>
      </c>
      <c r="Y94" s="404" t="s">
        <v>1048</v>
      </c>
    </row>
    <row r="95" spans="3:25" x14ac:dyDescent="0.25">
      <c r="C95" s="68" t="str">
        <f>'G-1 All Habitats'!B94</f>
        <v>Woodland and forest - Other coniferous woodland</v>
      </c>
      <c r="D95" s="404" t="s">
        <v>1048</v>
      </c>
      <c r="E95" s="404" t="s">
        <v>1048</v>
      </c>
      <c r="F95" s="404" t="s">
        <v>1048</v>
      </c>
      <c r="G95" s="404" t="s">
        <v>1048</v>
      </c>
      <c r="H95" s="404" t="s">
        <v>1048</v>
      </c>
      <c r="I95" s="404" t="s">
        <v>1048</v>
      </c>
      <c r="J95" s="404" t="s">
        <v>1048</v>
      </c>
      <c r="K95" s="404" t="s">
        <v>1048</v>
      </c>
      <c r="L95" s="404" t="s">
        <v>1048</v>
      </c>
      <c r="M95" s="404" t="s">
        <v>1048</v>
      </c>
      <c r="N95" s="404" t="s">
        <v>1048</v>
      </c>
      <c r="O95" s="404">
        <v>5</v>
      </c>
      <c r="P95" s="404">
        <v>25</v>
      </c>
      <c r="Q95" s="404" t="s">
        <v>1049</v>
      </c>
      <c r="R95" s="404" t="s">
        <v>1049</v>
      </c>
      <c r="S95" s="404">
        <v>20</v>
      </c>
      <c r="T95" s="404">
        <v>15</v>
      </c>
      <c r="U95" s="404">
        <v>25</v>
      </c>
      <c r="V95" s="404">
        <v>5</v>
      </c>
      <c r="W95" s="404">
        <v>7</v>
      </c>
      <c r="X95" s="404">
        <v>10</v>
      </c>
      <c r="Y95" s="404" t="s">
        <v>1048</v>
      </c>
    </row>
    <row r="96" spans="3:25" x14ac:dyDescent="0.25">
      <c r="C96" s="68" t="str">
        <f>'G-1 All Habitats'!B95</f>
        <v>Woodland and forest - Other Scot's pine woodland</v>
      </c>
      <c r="D96" s="404" t="s">
        <v>1048</v>
      </c>
      <c r="E96" s="404" t="s">
        <v>1048</v>
      </c>
      <c r="F96" s="404">
        <v>20</v>
      </c>
      <c r="G96" s="404">
        <v>25</v>
      </c>
      <c r="H96" s="404" t="s">
        <v>1049</v>
      </c>
      <c r="I96" s="404" t="s">
        <v>1049</v>
      </c>
      <c r="J96" s="404" t="s">
        <v>1049</v>
      </c>
      <c r="K96" s="404" t="s">
        <v>1048</v>
      </c>
      <c r="L96" s="404" t="s">
        <v>1048</v>
      </c>
      <c r="M96" s="404" t="s">
        <v>1048</v>
      </c>
      <c r="N96" s="404" t="s">
        <v>1048</v>
      </c>
      <c r="O96" s="404">
        <v>10</v>
      </c>
      <c r="P96" s="404">
        <v>15</v>
      </c>
      <c r="Q96" s="404">
        <v>20</v>
      </c>
      <c r="R96" s="404" t="s">
        <v>1049</v>
      </c>
      <c r="S96" s="404">
        <v>15</v>
      </c>
      <c r="T96" s="404">
        <v>20</v>
      </c>
      <c r="U96" s="404">
        <v>25</v>
      </c>
      <c r="V96" s="404">
        <v>10</v>
      </c>
      <c r="W96" s="404">
        <v>15</v>
      </c>
      <c r="X96" s="404">
        <v>10</v>
      </c>
      <c r="Y96" s="404" t="s">
        <v>1048</v>
      </c>
    </row>
    <row r="97" spans="3:25" x14ac:dyDescent="0.25">
      <c r="C97" s="68" t="str">
        <f>'G-1 All Habitats'!B96</f>
        <v>Woodland and forest - Other woodland; broadleaved</v>
      </c>
      <c r="D97" s="404" t="s">
        <v>1048</v>
      </c>
      <c r="E97" s="404" t="s">
        <v>1048</v>
      </c>
      <c r="F97" s="404">
        <v>5</v>
      </c>
      <c r="G97" s="404">
        <v>10</v>
      </c>
      <c r="H97" s="404">
        <v>15</v>
      </c>
      <c r="I97" s="404">
        <v>20</v>
      </c>
      <c r="J97" s="404">
        <v>25</v>
      </c>
      <c r="K97" s="404" t="s">
        <v>1048</v>
      </c>
      <c r="L97" s="404" t="s">
        <v>1048</v>
      </c>
      <c r="M97" s="404" t="s">
        <v>1048</v>
      </c>
      <c r="N97" s="404" t="s">
        <v>1048</v>
      </c>
      <c r="O97" s="404">
        <v>5</v>
      </c>
      <c r="P97" s="404">
        <v>10</v>
      </c>
      <c r="Q97" s="404">
        <v>15</v>
      </c>
      <c r="R97" s="404">
        <v>20</v>
      </c>
      <c r="S97" s="404">
        <v>5</v>
      </c>
      <c r="T97" s="404">
        <v>10</v>
      </c>
      <c r="U97" s="404">
        <v>15</v>
      </c>
      <c r="V97" s="404">
        <v>5</v>
      </c>
      <c r="W97" s="404">
        <v>10</v>
      </c>
      <c r="X97" s="404">
        <v>5</v>
      </c>
      <c r="Y97" s="404" t="s">
        <v>1048</v>
      </c>
    </row>
    <row r="98" spans="3:25" x14ac:dyDescent="0.25">
      <c r="C98" s="68" t="str">
        <f>'G-1 All Habitats'!B97</f>
        <v>Woodland and forest - Other woodland; mixed</v>
      </c>
      <c r="D98" s="404" t="s">
        <v>1048</v>
      </c>
      <c r="E98" s="404" t="s">
        <v>1048</v>
      </c>
      <c r="F98" s="404">
        <v>5</v>
      </c>
      <c r="G98" s="404">
        <v>10</v>
      </c>
      <c r="H98" s="404">
        <v>15</v>
      </c>
      <c r="I98" s="404">
        <v>20</v>
      </c>
      <c r="J98" s="404">
        <v>25</v>
      </c>
      <c r="K98" s="404" t="s">
        <v>1048</v>
      </c>
      <c r="L98" s="404" t="s">
        <v>1048</v>
      </c>
      <c r="M98" s="404" t="s">
        <v>1048</v>
      </c>
      <c r="N98" s="404" t="s">
        <v>1048</v>
      </c>
      <c r="O98" s="404">
        <v>5</v>
      </c>
      <c r="P98" s="404">
        <v>10</v>
      </c>
      <c r="Q98" s="404">
        <v>15</v>
      </c>
      <c r="R98" s="404">
        <v>20</v>
      </c>
      <c r="S98" s="404">
        <v>5</v>
      </c>
      <c r="T98" s="404">
        <v>10</v>
      </c>
      <c r="U98" s="404">
        <v>15</v>
      </c>
      <c r="V98" s="404">
        <v>5</v>
      </c>
      <c r="W98" s="404">
        <v>10</v>
      </c>
      <c r="X98" s="404">
        <v>5</v>
      </c>
      <c r="Y98" s="404" t="s">
        <v>1048</v>
      </c>
    </row>
    <row r="99" spans="3:25" x14ac:dyDescent="0.25">
      <c r="C99" s="68" t="str">
        <f>'G-1 All Habitats'!B98</f>
        <v>Woodland and forest - Upland birchwoods</v>
      </c>
      <c r="D99" s="404" t="s">
        <v>1048</v>
      </c>
      <c r="E99" s="404" t="s">
        <v>1048</v>
      </c>
      <c r="F99" s="404">
        <v>10</v>
      </c>
      <c r="G99" s="404">
        <v>20</v>
      </c>
      <c r="H99" s="404">
        <v>25</v>
      </c>
      <c r="I99" s="404">
        <v>30</v>
      </c>
      <c r="J99" s="404" t="s">
        <v>1049</v>
      </c>
      <c r="K99" s="404" t="s">
        <v>1048</v>
      </c>
      <c r="L99" s="404" t="s">
        <v>1048</v>
      </c>
      <c r="M99" s="404" t="s">
        <v>1048</v>
      </c>
      <c r="N99" s="404" t="s">
        <v>1048</v>
      </c>
      <c r="O99" s="404">
        <v>10</v>
      </c>
      <c r="P99" s="404">
        <v>15</v>
      </c>
      <c r="Q99" s="404">
        <v>20</v>
      </c>
      <c r="R99" s="404" t="s">
        <v>1049</v>
      </c>
      <c r="S99" s="404">
        <v>15</v>
      </c>
      <c r="T99" s="404">
        <v>20</v>
      </c>
      <c r="U99" s="404">
        <v>25</v>
      </c>
      <c r="V99" s="404">
        <v>10</v>
      </c>
      <c r="W99" s="404">
        <v>15</v>
      </c>
      <c r="X99" s="404">
        <v>10</v>
      </c>
      <c r="Y99" s="404" t="s">
        <v>1048</v>
      </c>
    </row>
    <row r="100" spans="3:25" x14ac:dyDescent="0.25">
      <c r="C100" s="68" t="str">
        <f>'G-1 All Habitats'!B99</f>
        <v>Woodland and forest - Upland mixed ashwoods</v>
      </c>
      <c r="D100" s="404" t="s">
        <v>1048</v>
      </c>
      <c r="E100" s="404" t="s">
        <v>1048</v>
      </c>
      <c r="F100" s="404">
        <v>10</v>
      </c>
      <c r="G100" s="404">
        <v>25</v>
      </c>
      <c r="H100" s="404" t="s">
        <v>1049</v>
      </c>
      <c r="I100" s="404" t="s">
        <v>1049</v>
      </c>
      <c r="J100" s="404" t="s">
        <v>1049</v>
      </c>
      <c r="K100" s="404" t="s">
        <v>1048</v>
      </c>
      <c r="L100" s="404" t="s">
        <v>1048</v>
      </c>
      <c r="M100" s="404" t="s">
        <v>1048</v>
      </c>
      <c r="N100" s="404" t="s">
        <v>1048</v>
      </c>
      <c r="O100" s="404">
        <v>10</v>
      </c>
      <c r="P100" s="404">
        <v>15</v>
      </c>
      <c r="Q100" s="404">
        <v>20</v>
      </c>
      <c r="R100" s="404" t="s">
        <v>1049</v>
      </c>
      <c r="S100" s="404">
        <v>15</v>
      </c>
      <c r="T100" s="404">
        <v>20</v>
      </c>
      <c r="U100" s="404">
        <v>25</v>
      </c>
      <c r="V100" s="404">
        <v>10</v>
      </c>
      <c r="W100" s="404">
        <v>15</v>
      </c>
      <c r="X100" s="404">
        <v>10</v>
      </c>
      <c r="Y100" s="404" t="s">
        <v>1048</v>
      </c>
    </row>
    <row r="101" spans="3:25" x14ac:dyDescent="0.25">
      <c r="C101" s="68" t="str">
        <f>'G-1 All Habitats'!B100</f>
        <v>Woodland and forest - Upland oakwood</v>
      </c>
      <c r="D101" s="404" t="s">
        <v>1048</v>
      </c>
      <c r="E101" s="404" t="s">
        <v>1048</v>
      </c>
      <c r="F101" s="404">
        <v>10</v>
      </c>
      <c r="G101" s="404">
        <v>25</v>
      </c>
      <c r="H101" s="404" t="s">
        <v>1049</v>
      </c>
      <c r="I101" s="404" t="s">
        <v>1049</v>
      </c>
      <c r="J101" s="404" t="s">
        <v>1049</v>
      </c>
      <c r="K101" s="404" t="s">
        <v>1048</v>
      </c>
      <c r="L101" s="404" t="s">
        <v>1048</v>
      </c>
      <c r="M101" s="404" t="s">
        <v>1048</v>
      </c>
      <c r="N101" s="404" t="s">
        <v>1048</v>
      </c>
      <c r="O101" s="404">
        <v>25</v>
      </c>
      <c r="P101" s="404" t="s">
        <v>1049</v>
      </c>
      <c r="Q101" s="404" t="s">
        <v>1049</v>
      </c>
      <c r="R101" s="404" t="s">
        <v>1049</v>
      </c>
      <c r="S101" s="404" t="s">
        <v>1049</v>
      </c>
      <c r="T101" s="404" t="s">
        <v>1049</v>
      </c>
      <c r="U101" s="404" t="s">
        <v>1049</v>
      </c>
      <c r="V101" s="404" t="s">
        <v>1049</v>
      </c>
      <c r="W101" s="404" t="s">
        <v>1049</v>
      </c>
      <c r="X101" s="404" t="s">
        <v>1049</v>
      </c>
      <c r="Y101" s="404" t="s">
        <v>1048</v>
      </c>
    </row>
    <row r="102" spans="3:25" x14ac:dyDescent="0.25">
      <c r="C102" s="68" t="str">
        <f>'G-1 All Habitats'!B101</f>
        <v>Woodland and forest - Wet woodland</v>
      </c>
      <c r="D102" s="404" t="s">
        <v>1048</v>
      </c>
      <c r="E102" s="404" t="s">
        <v>1048</v>
      </c>
      <c r="F102" s="404">
        <v>10</v>
      </c>
      <c r="G102" s="404">
        <v>20</v>
      </c>
      <c r="H102" s="404">
        <v>25</v>
      </c>
      <c r="I102" s="404">
        <v>30</v>
      </c>
      <c r="J102" s="404" t="s">
        <v>1049</v>
      </c>
      <c r="K102" s="404" t="s">
        <v>1048</v>
      </c>
      <c r="L102" s="404" t="s">
        <v>1048</v>
      </c>
      <c r="M102" s="404" t="s">
        <v>1048</v>
      </c>
      <c r="N102" s="404" t="s">
        <v>1048</v>
      </c>
      <c r="O102" s="404">
        <v>10</v>
      </c>
      <c r="P102" s="404">
        <v>10</v>
      </c>
      <c r="Q102" s="404">
        <v>15</v>
      </c>
      <c r="R102" s="404" t="s">
        <v>1049</v>
      </c>
      <c r="S102" s="404">
        <v>15</v>
      </c>
      <c r="T102" s="404">
        <v>20</v>
      </c>
      <c r="U102" s="404">
        <v>25</v>
      </c>
      <c r="V102" s="404">
        <v>10</v>
      </c>
      <c r="W102" s="404">
        <v>15</v>
      </c>
      <c r="X102" s="404">
        <v>10</v>
      </c>
      <c r="Y102" s="404" t="s">
        <v>1048</v>
      </c>
    </row>
    <row r="103" spans="3:25" x14ac:dyDescent="0.25">
      <c r="C103" s="68" t="str">
        <f>'G-1 All Habitats'!B102</f>
        <v>Woodland and forest - Wood-pasture and parkland</v>
      </c>
      <c r="D103" s="404" t="s">
        <v>1048</v>
      </c>
      <c r="E103" s="404" t="s">
        <v>1048</v>
      </c>
      <c r="F103" s="404">
        <v>10</v>
      </c>
      <c r="G103" s="404">
        <v>25</v>
      </c>
      <c r="H103" s="404" t="s">
        <v>1049</v>
      </c>
      <c r="I103" s="404" t="s">
        <v>1049</v>
      </c>
      <c r="J103" s="404" t="s">
        <v>1049</v>
      </c>
      <c r="K103" s="404" t="s">
        <v>1048</v>
      </c>
      <c r="L103" s="404" t="s">
        <v>1048</v>
      </c>
      <c r="M103" s="404" t="s">
        <v>1048</v>
      </c>
      <c r="N103" s="404" t="s">
        <v>1048</v>
      </c>
      <c r="O103" s="404">
        <v>25</v>
      </c>
      <c r="P103" s="404" t="s">
        <v>1049</v>
      </c>
      <c r="Q103" s="404" t="s">
        <v>1049</v>
      </c>
      <c r="R103" s="404" t="s">
        <v>1049</v>
      </c>
      <c r="S103" s="404" t="s">
        <v>1049</v>
      </c>
      <c r="T103" s="404" t="s">
        <v>1049</v>
      </c>
      <c r="U103" s="404" t="s">
        <v>1049</v>
      </c>
      <c r="V103" s="404" t="s">
        <v>1049</v>
      </c>
      <c r="W103" s="404" t="s">
        <v>1049</v>
      </c>
      <c r="X103" s="404" t="s">
        <v>1049</v>
      </c>
      <c r="Y103" s="404" t="s">
        <v>1048</v>
      </c>
    </row>
    <row r="104" spans="3:25" x14ac:dyDescent="0.25">
      <c r="C104" s="68" t="str">
        <f>'G-1 All Habitats'!B103</f>
        <v>Coastal lagoons - Coastal lagoons</v>
      </c>
      <c r="D104" s="404" t="s">
        <v>1048</v>
      </c>
      <c r="E104" s="404" t="s">
        <v>1048</v>
      </c>
      <c r="F104" s="404" t="s">
        <v>1048</v>
      </c>
      <c r="G104" s="404" t="s">
        <v>1048</v>
      </c>
      <c r="H104" s="404" t="s">
        <v>1048</v>
      </c>
      <c r="I104" s="404" t="s">
        <v>1048</v>
      </c>
      <c r="J104" s="404" t="s">
        <v>1048</v>
      </c>
      <c r="K104" s="404" t="s">
        <v>1048</v>
      </c>
      <c r="L104" s="404" t="s">
        <v>1048</v>
      </c>
      <c r="M104" s="404" t="s">
        <v>1048</v>
      </c>
      <c r="N104" s="404" t="s">
        <v>1048</v>
      </c>
      <c r="O104" s="404">
        <v>1</v>
      </c>
      <c r="P104" s="404">
        <v>4</v>
      </c>
      <c r="Q104" s="404">
        <v>8</v>
      </c>
      <c r="R104" s="404">
        <v>12</v>
      </c>
      <c r="S104" s="404">
        <v>3</v>
      </c>
      <c r="T104" s="404">
        <v>7</v>
      </c>
      <c r="U104" s="404">
        <v>11</v>
      </c>
      <c r="V104" s="404">
        <v>4</v>
      </c>
      <c r="W104" s="404">
        <v>8</v>
      </c>
      <c r="X104" s="404">
        <v>4</v>
      </c>
      <c r="Y104" s="404" t="s">
        <v>1048</v>
      </c>
    </row>
    <row r="105" spans="3:25" x14ac:dyDescent="0.25">
      <c r="C105" s="68" t="str">
        <f>'G-1 All Habitats'!B104</f>
        <v>Rocky shore - High energy littoral rock</v>
      </c>
      <c r="D105" s="404" t="s">
        <v>1048</v>
      </c>
      <c r="E105" s="404" t="s">
        <v>1048</v>
      </c>
      <c r="F105" s="404" t="s">
        <v>1048</v>
      </c>
      <c r="G105" s="404" t="s">
        <v>1048</v>
      </c>
      <c r="H105" s="404" t="s">
        <v>1048</v>
      </c>
      <c r="I105" s="404" t="s">
        <v>1048</v>
      </c>
      <c r="J105" s="404" t="s">
        <v>1048</v>
      </c>
      <c r="K105" s="404" t="s">
        <v>1048</v>
      </c>
      <c r="L105" s="404" t="s">
        <v>1048</v>
      </c>
      <c r="M105" s="404" t="s">
        <v>1048</v>
      </c>
      <c r="N105" s="404" t="s">
        <v>1048</v>
      </c>
      <c r="O105" s="404">
        <v>2</v>
      </c>
      <c r="P105" s="404">
        <v>4</v>
      </c>
      <c r="Q105" s="404">
        <v>6</v>
      </c>
      <c r="R105" s="404">
        <v>10</v>
      </c>
      <c r="S105" s="404">
        <v>2</v>
      </c>
      <c r="T105" s="404">
        <v>4</v>
      </c>
      <c r="U105" s="404">
        <v>8</v>
      </c>
      <c r="V105" s="404">
        <v>2</v>
      </c>
      <c r="W105" s="404">
        <v>6</v>
      </c>
      <c r="X105" s="404">
        <v>4</v>
      </c>
      <c r="Y105" s="404" t="s">
        <v>1048</v>
      </c>
    </row>
    <row r="106" spans="3:25" x14ac:dyDescent="0.25">
      <c r="C106" s="68" t="str">
        <f>'G-1 All Habitats'!B105</f>
        <v>Rocky shore - High energy littoral rock - on peat, clay or chalk</v>
      </c>
      <c r="D106" s="404" t="s">
        <v>1048</v>
      </c>
      <c r="E106" s="404" t="s">
        <v>1048</v>
      </c>
      <c r="F106" s="404" t="s">
        <v>1048</v>
      </c>
      <c r="G106" s="404" t="s">
        <v>1048</v>
      </c>
      <c r="H106" s="404" t="s">
        <v>1048</v>
      </c>
      <c r="I106" s="404" t="s">
        <v>1048</v>
      </c>
      <c r="J106" s="404" t="s">
        <v>1048</v>
      </c>
      <c r="K106" s="404" t="s">
        <v>1048</v>
      </c>
      <c r="L106" s="404" t="s">
        <v>1048</v>
      </c>
      <c r="M106" s="404" t="s">
        <v>1048</v>
      </c>
      <c r="N106" s="404" t="s">
        <v>1048</v>
      </c>
      <c r="O106" s="404">
        <v>2</v>
      </c>
      <c r="P106" s="404">
        <v>4</v>
      </c>
      <c r="Q106" s="404">
        <v>6</v>
      </c>
      <c r="R106" s="404">
        <v>10</v>
      </c>
      <c r="S106" s="404">
        <v>2</v>
      </c>
      <c r="T106" s="404">
        <v>4</v>
      </c>
      <c r="U106" s="404">
        <v>8</v>
      </c>
      <c r="V106" s="404">
        <v>2</v>
      </c>
      <c r="W106" s="404">
        <v>6</v>
      </c>
      <c r="X106" s="404">
        <v>4</v>
      </c>
      <c r="Y106" s="404" t="s">
        <v>1048</v>
      </c>
    </row>
    <row r="107" spans="3:25" x14ac:dyDescent="0.25">
      <c r="C107" s="68" t="str">
        <f>'G-1 All Habitats'!B106</f>
        <v>Rocky shore - Moderate energy littoral rock</v>
      </c>
      <c r="D107" s="404" t="s">
        <v>1048</v>
      </c>
      <c r="E107" s="404" t="s">
        <v>1048</v>
      </c>
      <c r="F107" s="404" t="s">
        <v>1048</v>
      </c>
      <c r="G107" s="404" t="s">
        <v>1048</v>
      </c>
      <c r="H107" s="404" t="s">
        <v>1048</v>
      </c>
      <c r="I107" s="404" t="s">
        <v>1048</v>
      </c>
      <c r="J107" s="404" t="s">
        <v>1048</v>
      </c>
      <c r="K107" s="404" t="s">
        <v>1048</v>
      </c>
      <c r="L107" s="404" t="s">
        <v>1048</v>
      </c>
      <c r="M107" s="404" t="s">
        <v>1048</v>
      </c>
      <c r="N107" s="404" t="s">
        <v>1048</v>
      </c>
      <c r="O107" s="404">
        <v>2</v>
      </c>
      <c r="P107" s="404">
        <v>4</v>
      </c>
      <c r="Q107" s="404">
        <v>6</v>
      </c>
      <c r="R107" s="404">
        <v>11</v>
      </c>
      <c r="S107" s="404">
        <v>2</v>
      </c>
      <c r="T107" s="404">
        <v>4</v>
      </c>
      <c r="U107" s="404">
        <v>9</v>
      </c>
      <c r="V107" s="404">
        <v>2</v>
      </c>
      <c r="W107" s="404">
        <v>7</v>
      </c>
      <c r="X107" s="404">
        <v>5</v>
      </c>
      <c r="Y107" s="404" t="s">
        <v>1048</v>
      </c>
    </row>
    <row r="108" spans="3:25" x14ac:dyDescent="0.25">
      <c r="C108" s="68" t="str">
        <f>'G-1 All Habitats'!B107</f>
        <v>Rocky shore - Moderate energy littoral rock - on peat, clay or chalk</v>
      </c>
      <c r="D108" s="404" t="s">
        <v>1048</v>
      </c>
      <c r="E108" s="404" t="s">
        <v>1048</v>
      </c>
      <c r="F108" s="404" t="s">
        <v>1048</v>
      </c>
      <c r="G108" s="404" t="s">
        <v>1048</v>
      </c>
      <c r="H108" s="404" t="s">
        <v>1048</v>
      </c>
      <c r="I108" s="404" t="s">
        <v>1048</v>
      </c>
      <c r="J108" s="404" t="s">
        <v>1048</v>
      </c>
      <c r="K108" s="404" t="s">
        <v>1048</v>
      </c>
      <c r="L108" s="404" t="s">
        <v>1048</v>
      </c>
      <c r="M108" s="404" t="s">
        <v>1048</v>
      </c>
      <c r="N108" s="404" t="s">
        <v>1048</v>
      </c>
      <c r="O108" s="404">
        <v>2</v>
      </c>
      <c r="P108" s="404">
        <v>4</v>
      </c>
      <c r="Q108" s="404">
        <v>6</v>
      </c>
      <c r="R108" s="404">
        <v>11</v>
      </c>
      <c r="S108" s="404">
        <v>2</v>
      </c>
      <c r="T108" s="404">
        <v>4</v>
      </c>
      <c r="U108" s="404">
        <v>9</v>
      </c>
      <c r="V108" s="404">
        <v>2</v>
      </c>
      <c r="W108" s="404">
        <v>7</v>
      </c>
      <c r="X108" s="404">
        <v>5</v>
      </c>
      <c r="Y108" s="404" t="s">
        <v>1048</v>
      </c>
    </row>
    <row r="109" spans="3:25" x14ac:dyDescent="0.25">
      <c r="C109" s="68" t="str">
        <f>'G-1 All Habitats'!B108</f>
        <v>Rocky shore - Low energy littoral rock</v>
      </c>
      <c r="D109" s="404" t="s">
        <v>1048</v>
      </c>
      <c r="E109" s="404" t="s">
        <v>1048</v>
      </c>
      <c r="F109" s="404" t="s">
        <v>1048</v>
      </c>
      <c r="G109" s="404" t="s">
        <v>1048</v>
      </c>
      <c r="H109" s="404" t="s">
        <v>1048</v>
      </c>
      <c r="I109" s="404" t="s">
        <v>1048</v>
      </c>
      <c r="J109" s="404" t="s">
        <v>1048</v>
      </c>
      <c r="K109" s="404" t="s">
        <v>1048</v>
      </c>
      <c r="L109" s="404" t="s">
        <v>1048</v>
      </c>
      <c r="M109" s="404" t="s">
        <v>1048</v>
      </c>
      <c r="N109" s="404" t="s">
        <v>1048</v>
      </c>
      <c r="O109" s="404">
        <v>2</v>
      </c>
      <c r="P109" s="404">
        <v>4</v>
      </c>
      <c r="Q109" s="404">
        <v>6</v>
      </c>
      <c r="R109" s="404">
        <v>12</v>
      </c>
      <c r="S109" s="404">
        <v>2</v>
      </c>
      <c r="T109" s="404">
        <v>4</v>
      </c>
      <c r="U109" s="404">
        <v>10</v>
      </c>
      <c r="V109" s="404">
        <v>2</v>
      </c>
      <c r="W109" s="404">
        <v>8</v>
      </c>
      <c r="X109" s="404">
        <v>6</v>
      </c>
      <c r="Y109" s="404" t="s">
        <v>1048</v>
      </c>
    </row>
    <row r="110" spans="3:25" x14ac:dyDescent="0.25">
      <c r="C110" s="68" t="str">
        <f>'G-1 All Habitats'!B109</f>
        <v>Rocky shore - Low energy littoral rock - on peat, clay or chalk</v>
      </c>
      <c r="D110" s="404" t="s">
        <v>1048</v>
      </c>
      <c r="E110" s="404" t="s">
        <v>1048</v>
      </c>
      <c r="F110" s="404" t="s">
        <v>1048</v>
      </c>
      <c r="G110" s="404" t="s">
        <v>1048</v>
      </c>
      <c r="H110" s="404" t="s">
        <v>1048</v>
      </c>
      <c r="I110" s="404" t="s">
        <v>1048</v>
      </c>
      <c r="J110" s="404" t="s">
        <v>1048</v>
      </c>
      <c r="K110" s="404" t="s">
        <v>1048</v>
      </c>
      <c r="L110" s="404" t="s">
        <v>1048</v>
      </c>
      <c r="M110" s="404" t="s">
        <v>1048</v>
      </c>
      <c r="N110" s="404" t="s">
        <v>1048</v>
      </c>
      <c r="O110" s="404">
        <v>2</v>
      </c>
      <c r="P110" s="404">
        <v>4</v>
      </c>
      <c r="Q110" s="404">
        <v>6</v>
      </c>
      <c r="R110" s="404">
        <v>12</v>
      </c>
      <c r="S110" s="404">
        <v>2</v>
      </c>
      <c r="T110" s="404">
        <v>4</v>
      </c>
      <c r="U110" s="404">
        <v>10</v>
      </c>
      <c r="V110" s="404">
        <v>2</v>
      </c>
      <c r="W110" s="404">
        <v>8</v>
      </c>
      <c r="X110" s="404">
        <v>6</v>
      </c>
      <c r="Y110" s="404" t="s">
        <v>1048</v>
      </c>
    </row>
    <row r="111" spans="3:25" x14ac:dyDescent="0.25">
      <c r="C111" s="68" t="str">
        <f>'G-1 All Habitats'!B110</f>
        <v>Rocky shore - Features of littoral rock</v>
      </c>
      <c r="D111" s="404" t="s">
        <v>1048</v>
      </c>
      <c r="E111" s="404" t="s">
        <v>1048</v>
      </c>
      <c r="F111" s="404" t="s">
        <v>1048</v>
      </c>
      <c r="G111" s="404" t="s">
        <v>1048</v>
      </c>
      <c r="H111" s="404" t="s">
        <v>1048</v>
      </c>
      <c r="I111" s="404" t="s">
        <v>1048</v>
      </c>
      <c r="J111" s="404" t="s">
        <v>1048</v>
      </c>
      <c r="K111" s="404" t="s">
        <v>1048</v>
      </c>
      <c r="L111" s="404" t="s">
        <v>1048</v>
      </c>
      <c r="M111" s="404" t="s">
        <v>1048</v>
      </c>
      <c r="N111" s="404" t="s">
        <v>1048</v>
      </c>
      <c r="O111" s="404">
        <v>2</v>
      </c>
      <c r="P111" s="404">
        <v>4</v>
      </c>
      <c r="Q111" s="404">
        <v>6</v>
      </c>
      <c r="R111" s="404">
        <v>11</v>
      </c>
      <c r="S111" s="404">
        <v>2</v>
      </c>
      <c r="T111" s="404">
        <v>4</v>
      </c>
      <c r="U111" s="404">
        <v>9</v>
      </c>
      <c r="V111" s="404">
        <v>2</v>
      </c>
      <c r="W111" s="404">
        <v>7</v>
      </c>
      <c r="X111" s="404">
        <v>5</v>
      </c>
      <c r="Y111" s="404" t="s">
        <v>1048</v>
      </c>
    </row>
    <row r="112" spans="3:25" x14ac:dyDescent="0.25">
      <c r="C112" s="68" t="str">
        <f>'G-1 All Habitats'!B111</f>
        <v>Rocky shore - Features of littoral rock - on peat, clay or chalk</v>
      </c>
      <c r="D112" s="404" t="s">
        <v>1048</v>
      </c>
      <c r="E112" s="404" t="s">
        <v>1048</v>
      </c>
      <c r="F112" s="404" t="s">
        <v>1048</v>
      </c>
      <c r="G112" s="404" t="s">
        <v>1048</v>
      </c>
      <c r="H112" s="404" t="s">
        <v>1048</v>
      </c>
      <c r="I112" s="404" t="s">
        <v>1048</v>
      </c>
      <c r="J112" s="404" t="s">
        <v>1048</v>
      </c>
      <c r="K112" s="404" t="s">
        <v>1048</v>
      </c>
      <c r="L112" s="404" t="s">
        <v>1048</v>
      </c>
      <c r="M112" s="404" t="s">
        <v>1048</v>
      </c>
      <c r="N112" s="404" t="s">
        <v>1048</v>
      </c>
      <c r="O112" s="404">
        <v>2</v>
      </c>
      <c r="P112" s="404">
        <v>4</v>
      </c>
      <c r="Q112" s="404">
        <v>6</v>
      </c>
      <c r="R112" s="404">
        <v>11</v>
      </c>
      <c r="S112" s="404">
        <v>2</v>
      </c>
      <c r="T112" s="404">
        <v>4</v>
      </c>
      <c r="U112" s="404">
        <v>9</v>
      </c>
      <c r="V112" s="404">
        <v>2</v>
      </c>
      <c r="W112" s="404">
        <v>7</v>
      </c>
      <c r="X112" s="404">
        <v>5</v>
      </c>
      <c r="Y112" s="404" t="s">
        <v>1048</v>
      </c>
    </row>
    <row r="113" spans="3:25" x14ac:dyDescent="0.25">
      <c r="C113" s="68" t="str">
        <f>'G-1 All Habitats'!B114</f>
        <v>Intertidal sediment - Littoral coarse sediment</v>
      </c>
      <c r="D113" s="404" t="s">
        <v>1048</v>
      </c>
      <c r="E113" s="404" t="s">
        <v>1048</v>
      </c>
      <c r="F113" s="404" t="s">
        <v>1048</v>
      </c>
      <c r="G113" s="404" t="s">
        <v>1048</v>
      </c>
      <c r="H113" s="404" t="s">
        <v>1048</v>
      </c>
      <c r="I113" s="404" t="s">
        <v>1048</v>
      </c>
      <c r="J113" s="404" t="s">
        <v>1048</v>
      </c>
      <c r="K113" s="404" t="s">
        <v>1048</v>
      </c>
      <c r="L113" s="404" t="s">
        <v>1048</v>
      </c>
      <c r="M113" s="404" t="s">
        <v>1048</v>
      </c>
      <c r="N113" s="404" t="s">
        <v>1048</v>
      </c>
      <c r="O113" s="404">
        <v>1</v>
      </c>
      <c r="P113" s="404">
        <v>2</v>
      </c>
      <c r="Q113" s="404">
        <v>3</v>
      </c>
      <c r="R113" s="404">
        <v>4</v>
      </c>
      <c r="S113" s="404">
        <v>1</v>
      </c>
      <c r="T113" s="404">
        <v>2</v>
      </c>
      <c r="U113" s="404">
        <v>3</v>
      </c>
      <c r="V113" s="404">
        <v>1</v>
      </c>
      <c r="W113" s="404">
        <v>2</v>
      </c>
      <c r="X113" s="404">
        <v>1</v>
      </c>
      <c r="Y113" s="404" t="s">
        <v>1048</v>
      </c>
    </row>
    <row r="114" spans="3:25" x14ac:dyDescent="0.25">
      <c r="C114" s="68" t="str">
        <f>'G-1 All Habitats'!B115</f>
        <v>Intertidal sediment - Littoral mud</v>
      </c>
      <c r="D114" s="404" t="s">
        <v>1048</v>
      </c>
      <c r="E114" s="404" t="s">
        <v>1048</v>
      </c>
      <c r="F114" s="404" t="s">
        <v>1048</v>
      </c>
      <c r="G114" s="404" t="s">
        <v>1048</v>
      </c>
      <c r="H114" s="404" t="s">
        <v>1048</v>
      </c>
      <c r="I114" s="404" t="s">
        <v>1048</v>
      </c>
      <c r="J114" s="404" t="s">
        <v>1048</v>
      </c>
      <c r="K114" s="404" t="s">
        <v>1048</v>
      </c>
      <c r="L114" s="404" t="s">
        <v>1048</v>
      </c>
      <c r="M114" s="404" t="s">
        <v>1048</v>
      </c>
      <c r="N114" s="404" t="s">
        <v>1048</v>
      </c>
      <c r="O114" s="404">
        <v>2</v>
      </c>
      <c r="P114" s="404">
        <v>4</v>
      </c>
      <c r="Q114" s="404">
        <v>6</v>
      </c>
      <c r="R114" s="404">
        <v>8</v>
      </c>
      <c r="S114" s="404">
        <v>2</v>
      </c>
      <c r="T114" s="404">
        <v>4</v>
      </c>
      <c r="U114" s="404">
        <v>6</v>
      </c>
      <c r="V114" s="404">
        <v>2</v>
      </c>
      <c r="W114" s="404">
        <v>4</v>
      </c>
      <c r="X114" s="404">
        <v>2</v>
      </c>
      <c r="Y114" s="404" t="s">
        <v>1048</v>
      </c>
    </row>
    <row r="115" spans="3:25" x14ac:dyDescent="0.25">
      <c r="C115" s="68" t="str">
        <f>'G-1 All Habitats'!B116</f>
        <v>Intertidal sediment - Littoral mixed sediments</v>
      </c>
      <c r="D115" s="404" t="s">
        <v>1048</v>
      </c>
      <c r="E115" s="404" t="s">
        <v>1048</v>
      </c>
      <c r="F115" s="404" t="s">
        <v>1048</v>
      </c>
      <c r="G115" s="404" t="s">
        <v>1048</v>
      </c>
      <c r="H115" s="404" t="s">
        <v>1048</v>
      </c>
      <c r="I115" s="404" t="s">
        <v>1048</v>
      </c>
      <c r="J115" s="404" t="s">
        <v>1048</v>
      </c>
      <c r="K115" s="404" t="s">
        <v>1048</v>
      </c>
      <c r="L115" s="404" t="s">
        <v>1048</v>
      </c>
      <c r="M115" s="404" t="s">
        <v>1048</v>
      </c>
      <c r="N115" s="404" t="s">
        <v>1048</v>
      </c>
      <c r="O115" s="404">
        <v>1</v>
      </c>
      <c r="P115" s="404">
        <v>2</v>
      </c>
      <c r="Q115" s="404">
        <v>3</v>
      </c>
      <c r="R115" s="404">
        <v>4</v>
      </c>
      <c r="S115" s="404">
        <v>1</v>
      </c>
      <c r="T115" s="404">
        <v>2</v>
      </c>
      <c r="U115" s="404">
        <v>3</v>
      </c>
      <c r="V115" s="404">
        <v>1</v>
      </c>
      <c r="W115" s="404">
        <v>2</v>
      </c>
      <c r="X115" s="404">
        <v>1</v>
      </c>
      <c r="Y115" s="404" t="s">
        <v>1048</v>
      </c>
    </row>
    <row r="116" spans="3:25" x14ac:dyDescent="0.25">
      <c r="C116" s="68" t="str">
        <f>'G-1 All Habitats'!B112</f>
        <v>Coastal saltmarsh - Saltmarshes and saline reedbeds</v>
      </c>
      <c r="D116" s="404" t="s">
        <v>1048</v>
      </c>
      <c r="E116" s="404" t="s">
        <v>1048</v>
      </c>
      <c r="F116" s="404" t="s">
        <v>1048</v>
      </c>
      <c r="G116" s="404" t="s">
        <v>1048</v>
      </c>
      <c r="H116" s="404" t="s">
        <v>1048</v>
      </c>
      <c r="I116" s="404" t="s">
        <v>1048</v>
      </c>
      <c r="J116" s="404" t="s">
        <v>1048</v>
      </c>
      <c r="K116" s="404" t="s">
        <v>1048</v>
      </c>
      <c r="L116" s="404" t="s">
        <v>1048</v>
      </c>
      <c r="M116" s="404" t="s">
        <v>1048</v>
      </c>
      <c r="N116" s="404" t="s">
        <v>1048</v>
      </c>
      <c r="O116" s="404">
        <v>2</v>
      </c>
      <c r="P116" s="404">
        <v>6</v>
      </c>
      <c r="Q116" s="404">
        <v>10</v>
      </c>
      <c r="R116" s="404">
        <v>20</v>
      </c>
      <c r="S116" s="404">
        <v>4</v>
      </c>
      <c r="T116" s="404">
        <v>8</v>
      </c>
      <c r="U116" s="404">
        <v>18</v>
      </c>
      <c r="V116" s="404">
        <v>4</v>
      </c>
      <c r="W116" s="404">
        <v>14</v>
      </c>
      <c r="X116" s="404">
        <v>10</v>
      </c>
      <c r="Y116" s="404" t="s">
        <v>1048</v>
      </c>
    </row>
    <row r="117" spans="3:25" x14ac:dyDescent="0.25">
      <c r="C117" s="68" t="str">
        <f>'G-1 All Habitats'!B113</f>
        <v>Coastal saltmarsh - Artificial saltmarshes and saline reedbeds</v>
      </c>
      <c r="D117" s="404" t="s">
        <v>1048</v>
      </c>
      <c r="E117" s="404" t="s">
        <v>1048</v>
      </c>
      <c r="F117" s="404" t="s">
        <v>1048</v>
      </c>
      <c r="G117" s="404" t="s">
        <v>1048</v>
      </c>
      <c r="H117" s="404" t="s">
        <v>1048</v>
      </c>
      <c r="I117" s="404" t="s">
        <v>1048</v>
      </c>
      <c r="J117" s="404" t="s">
        <v>1048</v>
      </c>
      <c r="K117" s="404" t="s">
        <v>1048</v>
      </c>
      <c r="L117" s="404" t="s">
        <v>1048</v>
      </c>
      <c r="M117" s="404" t="s">
        <v>1048</v>
      </c>
      <c r="N117" s="404" t="s">
        <v>1048</v>
      </c>
      <c r="O117" s="404">
        <v>2</v>
      </c>
      <c r="P117" s="404">
        <v>6</v>
      </c>
      <c r="Q117" s="404">
        <v>10</v>
      </c>
      <c r="R117" s="404">
        <v>20</v>
      </c>
      <c r="S117" s="404">
        <v>4</v>
      </c>
      <c r="T117" s="404">
        <v>8</v>
      </c>
      <c r="U117" s="404">
        <v>18</v>
      </c>
      <c r="V117" s="404">
        <v>4</v>
      </c>
      <c r="W117" s="404">
        <v>14</v>
      </c>
      <c r="X117" s="404">
        <v>10</v>
      </c>
      <c r="Y117" s="404" t="s">
        <v>1048</v>
      </c>
    </row>
    <row r="118" spans="3:25" x14ac:dyDescent="0.25">
      <c r="C118" s="68" t="str">
        <f>'G-1 All Habitats'!B117</f>
        <v>Intertidal sediment - Littoral seagrass</v>
      </c>
      <c r="D118" s="404" t="s">
        <v>1048</v>
      </c>
      <c r="E118" s="404" t="s">
        <v>1048</v>
      </c>
      <c r="F118" s="404" t="s">
        <v>1048</v>
      </c>
      <c r="G118" s="404" t="s">
        <v>1048</v>
      </c>
      <c r="H118" s="404" t="s">
        <v>1048</v>
      </c>
      <c r="I118" s="404" t="s">
        <v>1048</v>
      </c>
      <c r="J118" s="404" t="s">
        <v>1048</v>
      </c>
      <c r="K118" s="404" t="s">
        <v>1048</v>
      </c>
      <c r="L118" s="404" t="s">
        <v>1048</v>
      </c>
      <c r="M118" s="404" t="s">
        <v>1048</v>
      </c>
      <c r="N118" s="404" t="s">
        <v>1048</v>
      </c>
      <c r="O118" s="404">
        <v>3</v>
      </c>
      <c r="P118" s="404">
        <v>13</v>
      </c>
      <c r="Q118" s="404">
        <v>23</v>
      </c>
      <c r="R118" s="404" t="s">
        <v>1049</v>
      </c>
      <c r="S118" s="404">
        <v>10</v>
      </c>
      <c r="T118" s="404">
        <v>20</v>
      </c>
      <c r="U118" s="404">
        <v>30</v>
      </c>
      <c r="V118" s="404">
        <v>10</v>
      </c>
      <c r="W118" s="404">
        <v>20</v>
      </c>
      <c r="X118" s="404">
        <v>10</v>
      </c>
      <c r="Y118" s="404" t="s">
        <v>1048</v>
      </c>
    </row>
    <row r="119" spans="3:25" x14ac:dyDescent="0.25">
      <c r="C119" s="68" t="str">
        <f>'G-1 All Habitats'!B118</f>
        <v>Intertidal sediment - Littoral seagrass on peat, clay or chalk</v>
      </c>
      <c r="D119" s="404" t="s">
        <v>1048</v>
      </c>
      <c r="E119" s="404" t="s">
        <v>1048</v>
      </c>
      <c r="F119" s="404" t="s">
        <v>1048</v>
      </c>
      <c r="G119" s="404" t="s">
        <v>1048</v>
      </c>
      <c r="H119" s="404" t="s">
        <v>1048</v>
      </c>
      <c r="I119" s="404" t="s">
        <v>1048</v>
      </c>
      <c r="J119" s="404" t="s">
        <v>1048</v>
      </c>
      <c r="K119" s="404" t="s">
        <v>1048</v>
      </c>
      <c r="L119" s="404" t="s">
        <v>1048</v>
      </c>
      <c r="M119" s="404" t="s">
        <v>1048</v>
      </c>
      <c r="N119" s="404" t="s">
        <v>1048</v>
      </c>
      <c r="O119" s="404">
        <v>2</v>
      </c>
      <c r="P119" s="404">
        <v>4</v>
      </c>
      <c r="Q119" s="404">
        <v>7</v>
      </c>
      <c r="R119" s="404" t="s">
        <v>1049</v>
      </c>
      <c r="S119" s="404">
        <v>2</v>
      </c>
      <c r="T119" s="404">
        <v>3</v>
      </c>
      <c r="U119" s="404">
        <v>8</v>
      </c>
      <c r="V119" s="404">
        <v>3</v>
      </c>
      <c r="W119" s="404">
        <v>6</v>
      </c>
      <c r="X119" s="404">
        <v>3</v>
      </c>
      <c r="Y119" s="404" t="s">
        <v>1048</v>
      </c>
    </row>
    <row r="120" spans="3:25" x14ac:dyDescent="0.25">
      <c r="C120" s="68" t="str">
        <f>'G-1 All Habitats'!B119</f>
        <v>Intertidal sediment - Littoral biogenic reefs - Mussels</v>
      </c>
      <c r="D120" s="404" t="s">
        <v>1048</v>
      </c>
      <c r="E120" s="404" t="s">
        <v>1048</v>
      </c>
      <c r="F120" s="404" t="s">
        <v>1048</v>
      </c>
      <c r="G120" s="404" t="s">
        <v>1048</v>
      </c>
      <c r="H120" s="404" t="s">
        <v>1048</v>
      </c>
      <c r="I120" s="404" t="s">
        <v>1048</v>
      </c>
      <c r="J120" s="404" t="s">
        <v>1048</v>
      </c>
      <c r="K120" s="404" t="s">
        <v>1048</v>
      </c>
      <c r="L120" s="404" t="s">
        <v>1048</v>
      </c>
      <c r="M120" s="404" t="s">
        <v>1048</v>
      </c>
      <c r="N120" s="404" t="s">
        <v>1048</v>
      </c>
      <c r="O120" s="404">
        <v>2</v>
      </c>
      <c r="P120" s="404">
        <v>4</v>
      </c>
      <c r="Q120" s="404">
        <v>7</v>
      </c>
      <c r="R120" s="404">
        <v>10</v>
      </c>
      <c r="S120" s="404">
        <v>2</v>
      </c>
      <c r="T120" s="404">
        <v>3</v>
      </c>
      <c r="U120" s="404">
        <v>8</v>
      </c>
      <c r="V120" s="404">
        <v>3</v>
      </c>
      <c r="W120" s="404">
        <v>6</v>
      </c>
      <c r="X120" s="404">
        <v>3</v>
      </c>
      <c r="Y120" s="404" t="s">
        <v>1048</v>
      </c>
    </row>
    <row r="121" spans="3:25" x14ac:dyDescent="0.25">
      <c r="C121" s="68" t="str">
        <f>'G-1 All Habitats'!B120</f>
        <v>Intertidal sediment - Littoral biogenic reefs - Sabellaria</v>
      </c>
      <c r="D121" s="404" t="s">
        <v>1048</v>
      </c>
      <c r="E121" s="404" t="s">
        <v>1048</v>
      </c>
      <c r="F121" s="404" t="s">
        <v>1048</v>
      </c>
      <c r="G121" s="404" t="s">
        <v>1048</v>
      </c>
      <c r="H121" s="404" t="s">
        <v>1048</v>
      </c>
      <c r="I121" s="404" t="s">
        <v>1048</v>
      </c>
      <c r="J121" s="404" t="s">
        <v>1048</v>
      </c>
      <c r="K121" s="404" t="s">
        <v>1048</v>
      </c>
      <c r="L121" s="404" t="s">
        <v>1048</v>
      </c>
      <c r="M121" s="404" t="s">
        <v>1048</v>
      </c>
      <c r="N121" s="404" t="s">
        <v>1048</v>
      </c>
      <c r="O121" s="404">
        <v>2</v>
      </c>
      <c r="P121" s="404">
        <v>4</v>
      </c>
      <c r="Q121" s="404">
        <v>7</v>
      </c>
      <c r="R121" s="404">
        <v>10</v>
      </c>
      <c r="S121" s="404">
        <v>2</v>
      </c>
      <c r="T121" s="404">
        <v>3</v>
      </c>
      <c r="U121" s="404">
        <v>8</v>
      </c>
      <c r="V121" s="404">
        <v>3</v>
      </c>
      <c r="W121" s="404">
        <v>6</v>
      </c>
      <c r="X121" s="404">
        <v>3</v>
      </c>
      <c r="Y121" s="404" t="s">
        <v>1048</v>
      </c>
    </row>
    <row r="122" spans="3:25" x14ac:dyDescent="0.25">
      <c r="C122" s="68" t="str">
        <f>'G-1 All Habitats'!B121</f>
        <v>Intertidal sediment - Features of littoral sediment</v>
      </c>
      <c r="D122" s="404" t="s">
        <v>1048</v>
      </c>
      <c r="E122" s="404" t="s">
        <v>1048</v>
      </c>
      <c r="F122" s="404" t="s">
        <v>1048</v>
      </c>
      <c r="G122" s="404" t="s">
        <v>1048</v>
      </c>
      <c r="H122" s="404" t="s">
        <v>1048</v>
      </c>
      <c r="I122" s="404" t="s">
        <v>1048</v>
      </c>
      <c r="J122" s="404" t="s">
        <v>1048</v>
      </c>
      <c r="K122" s="404" t="s">
        <v>1048</v>
      </c>
      <c r="L122" s="404" t="s">
        <v>1048</v>
      </c>
      <c r="M122" s="404" t="s">
        <v>1048</v>
      </c>
      <c r="N122" s="404" t="s">
        <v>1048</v>
      </c>
      <c r="O122" s="404">
        <v>1</v>
      </c>
      <c r="P122" s="404">
        <v>2</v>
      </c>
      <c r="Q122" s="404">
        <v>3</v>
      </c>
      <c r="R122" s="404">
        <v>5</v>
      </c>
      <c r="S122" s="404">
        <v>1</v>
      </c>
      <c r="T122" s="404">
        <v>2</v>
      </c>
      <c r="U122" s="404">
        <v>4</v>
      </c>
      <c r="V122" s="404">
        <v>1</v>
      </c>
      <c r="W122" s="404">
        <v>3</v>
      </c>
      <c r="X122" s="404">
        <v>2</v>
      </c>
      <c r="Y122" s="404" t="s">
        <v>1048</v>
      </c>
    </row>
    <row r="123" spans="3:25" x14ac:dyDescent="0.25">
      <c r="C123" s="68" t="str">
        <f>'G-1 All Habitats'!B122</f>
        <v>Intertidal sediment - Artificial littoral coarse sediment</v>
      </c>
      <c r="D123" s="404" t="s">
        <v>1048</v>
      </c>
      <c r="E123" s="404" t="s">
        <v>1048</v>
      </c>
      <c r="F123" s="404" t="s">
        <v>1048</v>
      </c>
      <c r="G123" s="404" t="s">
        <v>1048</v>
      </c>
      <c r="H123" s="404" t="s">
        <v>1048</v>
      </c>
      <c r="I123" s="404" t="s">
        <v>1048</v>
      </c>
      <c r="J123" s="404" t="s">
        <v>1048</v>
      </c>
      <c r="K123" s="404" t="s">
        <v>1048</v>
      </c>
      <c r="L123" s="404" t="s">
        <v>1048</v>
      </c>
      <c r="M123" s="404" t="s">
        <v>1048</v>
      </c>
      <c r="N123" s="404" t="s">
        <v>1048</v>
      </c>
      <c r="O123" s="404">
        <v>1</v>
      </c>
      <c r="P123" s="404">
        <v>2</v>
      </c>
      <c r="Q123" s="404">
        <v>3</v>
      </c>
      <c r="R123" s="404">
        <v>4</v>
      </c>
      <c r="S123" s="404">
        <v>1</v>
      </c>
      <c r="T123" s="404">
        <v>2</v>
      </c>
      <c r="U123" s="404">
        <v>3</v>
      </c>
      <c r="V123" s="404">
        <v>1</v>
      </c>
      <c r="W123" s="404">
        <v>2</v>
      </c>
      <c r="X123" s="404">
        <v>1</v>
      </c>
      <c r="Y123" s="404" t="s">
        <v>1048</v>
      </c>
    </row>
    <row r="124" spans="3:25" x14ac:dyDescent="0.25">
      <c r="C124" s="68" t="str">
        <f>'G-1 All Habitats'!B123</f>
        <v>Intertidal sediment - Artificial littoral mud</v>
      </c>
      <c r="D124" s="404" t="s">
        <v>1048</v>
      </c>
      <c r="E124" s="404" t="s">
        <v>1048</v>
      </c>
      <c r="F124" s="404" t="s">
        <v>1048</v>
      </c>
      <c r="G124" s="404" t="s">
        <v>1048</v>
      </c>
      <c r="H124" s="404" t="s">
        <v>1048</v>
      </c>
      <c r="I124" s="404" t="s">
        <v>1048</v>
      </c>
      <c r="J124" s="404" t="s">
        <v>1048</v>
      </c>
      <c r="K124" s="404" t="s">
        <v>1048</v>
      </c>
      <c r="L124" s="404" t="s">
        <v>1048</v>
      </c>
      <c r="M124" s="404" t="s">
        <v>1048</v>
      </c>
      <c r="N124" s="404" t="s">
        <v>1048</v>
      </c>
      <c r="O124" s="404">
        <v>2</v>
      </c>
      <c r="P124" s="404">
        <v>4</v>
      </c>
      <c r="Q124" s="404">
        <v>6</v>
      </c>
      <c r="R124" s="404">
        <v>8</v>
      </c>
      <c r="S124" s="404">
        <v>2</v>
      </c>
      <c r="T124" s="404">
        <v>4</v>
      </c>
      <c r="U124" s="404">
        <v>6</v>
      </c>
      <c r="V124" s="404">
        <v>2</v>
      </c>
      <c r="W124" s="404">
        <v>4</v>
      </c>
      <c r="X124" s="404">
        <v>2</v>
      </c>
      <c r="Y124" s="404" t="s">
        <v>1048</v>
      </c>
    </row>
    <row r="125" spans="3:25" x14ac:dyDescent="0.25">
      <c r="C125" s="68" t="str">
        <f>'G-1 All Habitats'!B124</f>
        <v>Intertidal sediment - Artificial littoral sand</v>
      </c>
      <c r="D125" s="404" t="s">
        <v>1048</v>
      </c>
      <c r="E125" s="404" t="s">
        <v>1048</v>
      </c>
      <c r="F125" s="404" t="s">
        <v>1048</v>
      </c>
      <c r="G125" s="404" t="s">
        <v>1048</v>
      </c>
      <c r="H125" s="404" t="s">
        <v>1048</v>
      </c>
      <c r="I125" s="404" t="s">
        <v>1048</v>
      </c>
      <c r="J125" s="404" t="s">
        <v>1048</v>
      </c>
      <c r="K125" s="404" t="s">
        <v>1048</v>
      </c>
      <c r="L125" s="404" t="s">
        <v>1048</v>
      </c>
      <c r="M125" s="404" t="s">
        <v>1048</v>
      </c>
      <c r="N125" s="404" t="s">
        <v>1048</v>
      </c>
      <c r="O125" s="404">
        <v>2</v>
      </c>
      <c r="P125" s="404">
        <v>3</v>
      </c>
      <c r="Q125" s="404">
        <v>4</v>
      </c>
      <c r="R125" s="404">
        <v>6</v>
      </c>
      <c r="S125" s="404">
        <v>1</v>
      </c>
      <c r="T125" s="404">
        <v>2</v>
      </c>
      <c r="U125" s="404">
        <v>4</v>
      </c>
      <c r="V125" s="404">
        <v>1</v>
      </c>
      <c r="W125" s="404">
        <v>3</v>
      </c>
      <c r="X125" s="404">
        <v>2</v>
      </c>
      <c r="Y125" s="404" t="s">
        <v>1048</v>
      </c>
    </row>
    <row r="126" spans="3:25" x14ac:dyDescent="0.25">
      <c r="C126" s="68" t="str">
        <f>'G-1 All Habitats'!B125</f>
        <v>Intertidal sediment - Artificial littoral muddy sand</v>
      </c>
      <c r="D126" s="404" t="s">
        <v>1048</v>
      </c>
      <c r="E126" s="404" t="s">
        <v>1048</v>
      </c>
      <c r="F126" s="404" t="s">
        <v>1048</v>
      </c>
      <c r="G126" s="404" t="s">
        <v>1048</v>
      </c>
      <c r="H126" s="404" t="s">
        <v>1048</v>
      </c>
      <c r="I126" s="404" t="s">
        <v>1048</v>
      </c>
      <c r="J126" s="404" t="s">
        <v>1048</v>
      </c>
      <c r="K126" s="404" t="s">
        <v>1048</v>
      </c>
      <c r="L126" s="404" t="s">
        <v>1048</v>
      </c>
      <c r="M126" s="404" t="s">
        <v>1048</v>
      </c>
      <c r="N126" s="404" t="s">
        <v>1048</v>
      </c>
      <c r="O126" s="404">
        <v>2</v>
      </c>
      <c r="P126" s="404">
        <v>4</v>
      </c>
      <c r="Q126" s="404">
        <v>6</v>
      </c>
      <c r="R126" s="404">
        <v>8</v>
      </c>
      <c r="S126" s="404">
        <v>2</v>
      </c>
      <c r="T126" s="404">
        <v>4</v>
      </c>
      <c r="U126" s="404">
        <v>6</v>
      </c>
      <c r="V126" s="404">
        <v>2</v>
      </c>
      <c r="W126" s="404">
        <v>4</v>
      </c>
      <c r="X126" s="404">
        <v>2</v>
      </c>
      <c r="Y126" s="404" t="s">
        <v>1048</v>
      </c>
    </row>
    <row r="127" spans="3:25" x14ac:dyDescent="0.25">
      <c r="C127" s="68" t="str">
        <f>'G-1 All Habitats'!B126</f>
        <v>Intertidal sediment - Artificial littoral mixed sediments</v>
      </c>
      <c r="D127" s="404" t="s">
        <v>1048</v>
      </c>
      <c r="E127" s="404" t="s">
        <v>1048</v>
      </c>
      <c r="F127" s="404" t="s">
        <v>1048</v>
      </c>
      <c r="G127" s="404" t="s">
        <v>1048</v>
      </c>
      <c r="H127" s="404" t="s">
        <v>1048</v>
      </c>
      <c r="I127" s="404" t="s">
        <v>1048</v>
      </c>
      <c r="J127" s="404" t="s">
        <v>1048</v>
      </c>
      <c r="K127" s="404" t="s">
        <v>1048</v>
      </c>
      <c r="L127" s="404" t="s">
        <v>1048</v>
      </c>
      <c r="M127" s="404" t="s">
        <v>1048</v>
      </c>
      <c r="N127" s="404" t="s">
        <v>1048</v>
      </c>
      <c r="O127" s="404">
        <v>1</v>
      </c>
      <c r="P127" s="404">
        <v>2</v>
      </c>
      <c r="Q127" s="404">
        <v>3</v>
      </c>
      <c r="R127" s="404">
        <v>4</v>
      </c>
      <c r="S127" s="404">
        <v>1</v>
      </c>
      <c r="T127" s="404">
        <v>2</v>
      </c>
      <c r="U127" s="404">
        <v>3</v>
      </c>
      <c r="V127" s="404">
        <v>1</v>
      </c>
      <c r="W127" s="404">
        <v>2</v>
      </c>
      <c r="X127" s="404">
        <v>1</v>
      </c>
      <c r="Y127" s="404" t="s">
        <v>1048</v>
      </c>
    </row>
    <row r="128" spans="3:25" x14ac:dyDescent="0.25">
      <c r="C128" s="68" t="str">
        <f>'G-1 All Habitats'!B127</f>
        <v>Intertidal sediment - Artificial littoral seagrass</v>
      </c>
      <c r="D128" s="404" t="s">
        <v>1048</v>
      </c>
      <c r="E128" s="404" t="s">
        <v>1048</v>
      </c>
      <c r="F128" s="404" t="s">
        <v>1048</v>
      </c>
      <c r="G128" s="404" t="s">
        <v>1048</v>
      </c>
      <c r="H128" s="404" t="s">
        <v>1048</v>
      </c>
      <c r="I128" s="404" t="s">
        <v>1048</v>
      </c>
      <c r="J128" s="404" t="s">
        <v>1048</v>
      </c>
      <c r="K128" s="404" t="s">
        <v>1048</v>
      </c>
      <c r="L128" s="404" t="s">
        <v>1048</v>
      </c>
      <c r="M128" s="404" t="s">
        <v>1048</v>
      </c>
      <c r="N128" s="404" t="s">
        <v>1048</v>
      </c>
      <c r="O128" s="404">
        <v>3</v>
      </c>
      <c r="P128" s="404">
        <v>13</v>
      </c>
      <c r="Q128" s="404">
        <v>23</v>
      </c>
      <c r="R128" s="404" t="s">
        <v>1049</v>
      </c>
      <c r="S128" s="404">
        <v>10</v>
      </c>
      <c r="T128" s="404">
        <v>20</v>
      </c>
      <c r="U128" s="404">
        <v>30</v>
      </c>
      <c r="V128" s="404">
        <v>10</v>
      </c>
      <c r="W128" s="404">
        <v>20</v>
      </c>
      <c r="X128" s="404">
        <v>10</v>
      </c>
      <c r="Y128" s="404" t="s">
        <v>1048</v>
      </c>
    </row>
    <row r="129" spans="3:25" x14ac:dyDescent="0.25">
      <c r="C129" s="68" t="str">
        <f>'G-1 All Habitats'!B128</f>
        <v>Intertidal sediment - Artificial littoral biogenic reefs</v>
      </c>
      <c r="D129" s="404" t="s">
        <v>1048</v>
      </c>
      <c r="E129" s="404" t="s">
        <v>1048</v>
      </c>
      <c r="F129" s="404" t="s">
        <v>1048</v>
      </c>
      <c r="G129" s="404" t="s">
        <v>1048</v>
      </c>
      <c r="H129" s="404" t="s">
        <v>1048</v>
      </c>
      <c r="I129" s="404" t="s">
        <v>1048</v>
      </c>
      <c r="J129" s="404" t="s">
        <v>1048</v>
      </c>
      <c r="K129" s="404" t="s">
        <v>1048</v>
      </c>
      <c r="L129" s="404" t="s">
        <v>1048</v>
      </c>
      <c r="M129" s="404" t="s">
        <v>1048</v>
      </c>
      <c r="N129" s="404" t="s">
        <v>1048</v>
      </c>
      <c r="O129" s="404">
        <v>2</v>
      </c>
      <c r="P129" s="404">
        <v>4</v>
      </c>
      <c r="Q129" s="404">
        <v>7</v>
      </c>
      <c r="R129" s="404">
        <v>10</v>
      </c>
      <c r="S129" s="404">
        <v>2</v>
      </c>
      <c r="T129" s="404">
        <v>3</v>
      </c>
      <c r="U129" s="404">
        <v>8</v>
      </c>
      <c r="V129" s="404">
        <v>3</v>
      </c>
      <c r="W129" s="404">
        <v>6</v>
      </c>
      <c r="X129" s="404">
        <v>3</v>
      </c>
      <c r="Y129" s="404" t="s">
        <v>1048</v>
      </c>
    </row>
    <row r="130" spans="3:25" x14ac:dyDescent="0.25">
      <c r="C130" s="68" t="str">
        <f>'G-1 All Habitats'!B129</f>
        <v>Intertidal sediment - Littoral sand</v>
      </c>
      <c r="D130" s="404" t="s">
        <v>1048</v>
      </c>
      <c r="E130" s="404" t="s">
        <v>1048</v>
      </c>
      <c r="F130" s="404" t="s">
        <v>1048</v>
      </c>
      <c r="G130" s="404" t="s">
        <v>1048</v>
      </c>
      <c r="H130" s="404" t="s">
        <v>1048</v>
      </c>
      <c r="I130" s="404" t="s">
        <v>1048</v>
      </c>
      <c r="J130" s="404" t="s">
        <v>1048</v>
      </c>
      <c r="K130" s="404" t="s">
        <v>1048</v>
      </c>
      <c r="L130" s="404" t="s">
        <v>1048</v>
      </c>
      <c r="M130" s="404" t="s">
        <v>1048</v>
      </c>
      <c r="N130" s="404" t="s">
        <v>1048</v>
      </c>
      <c r="O130" s="404">
        <v>2</v>
      </c>
      <c r="P130" s="404">
        <v>3</v>
      </c>
      <c r="Q130" s="404">
        <v>4</v>
      </c>
      <c r="R130" s="404">
        <v>6</v>
      </c>
      <c r="S130" s="404">
        <v>1</v>
      </c>
      <c r="T130" s="404">
        <v>2</v>
      </c>
      <c r="U130" s="404">
        <v>4</v>
      </c>
      <c r="V130" s="404">
        <v>1</v>
      </c>
      <c r="W130" s="404">
        <v>3</v>
      </c>
      <c r="X130" s="404">
        <v>2</v>
      </c>
      <c r="Y130" s="404" t="s">
        <v>1048</v>
      </c>
    </row>
    <row r="131" spans="3:25" x14ac:dyDescent="0.25">
      <c r="C131" s="68" t="str">
        <f>'G-1 All Habitats'!B130</f>
        <v>Intertidal sediment - Littoral muddy sand</v>
      </c>
      <c r="D131" s="404" t="s">
        <v>1048</v>
      </c>
      <c r="E131" s="404" t="s">
        <v>1048</v>
      </c>
      <c r="F131" s="404" t="s">
        <v>1048</v>
      </c>
      <c r="G131" s="404" t="s">
        <v>1048</v>
      </c>
      <c r="H131" s="404" t="s">
        <v>1048</v>
      </c>
      <c r="I131" s="404" t="s">
        <v>1048</v>
      </c>
      <c r="J131" s="404" t="s">
        <v>1048</v>
      </c>
      <c r="K131" s="404" t="s">
        <v>1048</v>
      </c>
      <c r="L131" s="404" t="s">
        <v>1048</v>
      </c>
      <c r="M131" s="404" t="s">
        <v>1048</v>
      </c>
      <c r="N131" s="404" t="s">
        <v>1048</v>
      </c>
      <c r="O131" s="404">
        <v>2</v>
      </c>
      <c r="P131" s="404">
        <v>4</v>
      </c>
      <c r="Q131" s="404">
        <v>6</v>
      </c>
      <c r="R131" s="404">
        <v>8</v>
      </c>
      <c r="S131" s="404">
        <v>2</v>
      </c>
      <c r="T131" s="404">
        <v>4</v>
      </c>
      <c r="U131" s="404">
        <v>6</v>
      </c>
      <c r="V131" s="404">
        <v>2</v>
      </c>
      <c r="W131" s="404">
        <v>4</v>
      </c>
      <c r="X131" s="404">
        <v>2</v>
      </c>
      <c r="Y131" s="404" t="s">
        <v>1048</v>
      </c>
    </row>
    <row r="132" spans="3:25" x14ac:dyDescent="0.25">
      <c r="C132" s="68" t="str">
        <f>'G-1 All Habitats'!B131</f>
        <v>Intertidal hard structures - Artificial hard structures</v>
      </c>
      <c r="D132" s="404" t="s">
        <v>1048</v>
      </c>
      <c r="E132" s="404" t="s">
        <v>1048</v>
      </c>
      <c r="F132" s="404" t="s">
        <v>1048</v>
      </c>
      <c r="G132" s="404" t="s">
        <v>1048</v>
      </c>
      <c r="H132" s="404" t="s">
        <v>1048</v>
      </c>
      <c r="I132" s="404" t="s">
        <v>1048</v>
      </c>
      <c r="J132" s="404" t="s">
        <v>1048</v>
      </c>
      <c r="K132" s="404" t="s">
        <v>1048</v>
      </c>
      <c r="L132" s="404" t="s">
        <v>1048</v>
      </c>
      <c r="M132" s="404" t="s">
        <v>1048</v>
      </c>
      <c r="N132" s="404" t="s">
        <v>1048</v>
      </c>
      <c r="O132" s="404">
        <v>6</v>
      </c>
      <c r="P132" s="404">
        <v>4</v>
      </c>
      <c r="Q132" s="404">
        <v>10</v>
      </c>
      <c r="R132" s="404">
        <v>2</v>
      </c>
      <c r="S132" s="404">
        <v>2</v>
      </c>
      <c r="T132" s="404">
        <v>8</v>
      </c>
      <c r="U132" s="404">
        <v>6</v>
      </c>
      <c r="V132" s="404">
        <v>2</v>
      </c>
      <c r="W132" s="404">
        <v>12</v>
      </c>
      <c r="X132" s="404">
        <v>4</v>
      </c>
      <c r="Y132" s="404" t="s">
        <v>1048</v>
      </c>
    </row>
    <row r="133" spans="3:25" x14ac:dyDescent="0.25">
      <c r="C133" s="68" t="str">
        <f>'G-1 All Habitats'!B132</f>
        <v>Intertidal hard structures - Artificial features of hard structures</v>
      </c>
      <c r="D133" s="404" t="s">
        <v>1048</v>
      </c>
      <c r="E133" s="404" t="s">
        <v>1048</v>
      </c>
      <c r="F133" s="404" t="s">
        <v>1048</v>
      </c>
      <c r="G133" s="404" t="s">
        <v>1048</v>
      </c>
      <c r="H133" s="404" t="s">
        <v>1048</v>
      </c>
      <c r="I133" s="404" t="s">
        <v>1048</v>
      </c>
      <c r="J133" s="404" t="s">
        <v>1048</v>
      </c>
      <c r="K133" s="404" t="s">
        <v>1048</v>
      </c>
      <c r="L133" s="404" t="s">
        <v>1048</v>
      </c>
      <c r="M133" s="404" t="s">
        <v>1048</v>
      </c>
      <c r="N133" s="404" t="s">
        <v>1048</v>
      </c>
      <c r="O133" s="404">
        <v>5</v>
      </c>
      <c r="P133" s="404">
        <v>4</v>
      </c>
      <c r="Q133" s="404">
        <v>9</v>
      </c>
      <c r="R133" s="404">
        <v>2</v>
      </c>
      <c r="S133" s="404">
        <v>2</v>
      </c>
      <c r="T133" s="404">
        <v>7</v>
      </c>
      <c r="U133" s="404">
        <v>6</v>
      </c>
      <c r="V133" s="404">
        <v>2</v>
      </c>
      <c r="W133" s="404">
        <v>11</v>
      </c>
      <c r="X133" s="404">
        <v>4</v>
      </c>
      <c r="Y133" s="404" t="s">
        <v>1048</v>
      </c>
    </row>
    <row r="134" spans="3:25" x14ac:dyDescent="0.25">
      <c r="C134" s="68" t="str">
        <f>'G-1 All Habitats'!B133</f>
        <v>Intertidal hard structures - Artificial hard structures with integrated greening of grey infrastructure (IGGI)</v>
      </c>
      <c r="D134" s="404" t="s">
        <v>1048</v>
      </c>
      <c r="E134" s="404" t="s">
        <v>1048</v>
      </c>
      <c r="F134" s="404" t="s">
        <v>1048</v>
      </c>
      <c r="G134" s="404" t="s">
        <v>1048</v>
      </c>
      <c r="H134" s="404" t="s">
        <v>1048</v>
      </c>
      <c r="I134" s="404" t="s">
        <v>1048</v>
      </c>
      <c r="J134" s="404" t="s">
        <v>1048</v>
      </c>
      <c r="K134" s="404" t="s">
        <v>1048</v>
      </c>
      <c r="L134" s="404" t="s">
        <v>1048</v>
      </c>
      <c r="M134" s="404" t="s">
        <v>1048</v>
      </c>
      <c r="N134" s="404" t="s">
        <v>1048</v>
      </c>
      <c r="O134" s="404">
        <v>5</v>
      </c>
      <c r="P134" s="404">
        <v>4</v>
      </c>
      <c r="Q134" s="404">
        <v>9</v>
      </c>
      <c r="R134" s="404">
        <v>2</v>
      </c>
      <c r="S134" s="404">
        <v>2</v>
      </c>
      <c r="T134" s="404">
        <v>7</v>
      </c>
      <c r="U134" s="404">
        <v>6</v>
      </c>
      <c r="V134" s="404">
        <v>2</v>
      </c>
      <c r="W134" s="404">
        <v>11</v>
      </c>
      <c r="X134" s="404">
        <v>4</v>
      </c>
      <c r="Y134" s="404" t="s">
        <v>1048</v>
      </c>
    </row>
    <row r="135" spans="3:25" x14ac:dyDescent="0.25">
      <c r="C135" s="68" t="str">
        <f>'G-1 All Habitats'!B134</f>
        <v>Watercourse footprint - Watercourse footprint</v>
      </c>
      <c r="D135" s="404" t="s">
        <v>1048</v>
      </c>
      <c r="E135" s="404" t="s">
        <v>1048</v>
      </c>
      <c r="F135" s="404" t="s">
        <v>1048</v>
      </c>
      <c r="G135" s="404" t="s">
        <v>1048</v>
      </c>
      <c r="H135" s="404" t="s">
        <v>1048</v>
      </c>
      <c r="I135" s="404" t="s">
        <v>1048</v>
      </c>
      <c r="J135" s="404" t="s">
        <v>1048</v>
      </c>
      <c r="K135" s="404" t="s">
        <v>1048</v>
      </c>
      <c r="L135" s="404" t="s">
        <v>1048</v>
      </c>
      <c r="M135" s="404" t="s">
        <v>1048</v>
      </c>
      <c r="N135" s="404" t="s">
        <v>1048</v>
      </c>
      <c r="O135" s="404" t="s">
        <v>1048</v>
      </c>
      <c r="P135" s="404" t="s">
        <v>1048</v>
      </c>
      <c r="Q135" s="404" t="s">
        <v>1048</v>
      </c>
      <c r="R135" s="404" t="s">
        <v>1048</v>
      </c>
      <c r="S135" s="404" t="s">
        <v>1048</v>
      </c>
      <c r="T135" s="404" t="s">
        <v>1048</v>
      </c>
      <c r="U135" s="404" t="s">
        <v>1048</v>
      </c>
      <c r="V135" s="404" t="s">
        <v>1048</v>
      </c>
      <c r="W135" s="404" t="s">
        <v>1048</v>
      </c>
      <c r="X135" s="404" t="s">
        <v>1048</v>
      </c>
      <c r="Y135" s="404" t="s">
        <v>1048</v>
      </c>
    </row>
    <row r="136" spans="3:25" x14ac:dyDescent="0.25">
      <c r="C136" s="68" t="str">
        <f>'G-1 All Habitats'!B81</f>
        <v>Individual trees - Rural tree</v>
      </c>
      <c r="D136" s="404" t="s">
        <v>1048</v>
      </c>
      <c r="E136" s="404" t="s">
        <v>1048</v>
      </c>
      <c r="F136" s="404" t="s">
        <v>1048</v>
      </c>
      <c r="G136" s="404" t="s">
        <v>1048</v>
      </c>
      <c r="H136" s="404" t="s">
        <v>1048</v>
      </c>
      <c r="I136" s="404" t="s">
        <v>1048</v>
      </c>
      <c r="J136" s="404" t="s">
        <v>1048</v>
      </c>
      <c r="K136" s="404" t="s">
        <v>1048</v>
      </c>
      <c r="L136" s="404" t="s">
        <v>1048</v>
      </c>
      <c r="M136" s="404" t="s">
        <v>1048</v>
      </c>
      <c r="N136" s="404" t="s">
        <v>1048</v>
      </c>
      <c r="O136" s="404">
        <v>8</v>
      </c>
      <c r="P136" s="404">
        <v>16</v>
      </c>
      <c r="Q136" s="404">
        <v>24</v>
      </c>
      <c r="R136" s="404" t="s">
        <v>1049</v>
      </c>
      <c r="S136" s="404">
        <v>8</v>
      </c>
      <c r="T136" s="404">
        <v>16</v>
      </c>
      <c r="U136" s="404">
        <v>24</v>
      </c>
      <c r="V136" s="404">
        <v>8</v>
      </c>
      <c r="W136" s="404">
        <v>16</v>
      </c>
      <c r="X136" s="404">
        <v>8</v>
      </c>
      <c r="Y136" s="404" t="s">
        <v>1048</v>
      </c>
    </row>
    <row r="147" x14ac:dyDescent="0.25"/>
    <row r="273" x14ac:dyDescent="0.25"/>
    <row r="274" x14ac:dyDescent="0.25"/>
    <row r="275"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3.8" zeroHeight="1" x14ac:dyDescent="0.25"/>
  <cols>
    <col min="1" max="1" width="8.21875" style="30" customWidth="1"/>
    <col min="2" max="2" width="66.44140625" style="30" bestFit="1" customWidth="1"/>
    <col min="3" max="4" width="17.21875" style="30" customWidth="1"/>
    <col min="5" max="5" width="10.21875" style="30" customWidth="1"/>
    <col min="6" max="6" width="9.5546875" style="30" hidden="1" customWidth="1"/>
    <col min="7" max="7" width="12.21875" style="30" customWidth="1"/>
    <col min="8" max="8" width="10" style="30" hidden="1" customWidth="1"/>
    <col min="9" max="9" width="10.21875" style="30" customWidth="1"/>
    <col min="10" max="10" width="8.21875" style="30" hidden="1" customWidth="1"/>
    <col min="11" max="11" width="12.21875" style="30" customWidth="1"/>
    <col min="12" max="12" width="7.77734375" style="30" hidden="1" customWidth="1"/>
    <col min="13" max="13" width="10.77734375" style="30" customWidth="1"/>
    <col min="14" max="14" width="10.5546875" style="30" hidden="1" customWidth="1"/>
    <col min="15" max="15" width="10.77734375" style="30" hidden="1" customWidth="1"/>
    <col min="16" max="16" width="4.21875" style="30" hidden="1" customWidth="1"/>
    <col min="17" max="17" width="12.5546875" style="157" customWidth="1"/>
    <col min="18" max="18" width="4.21875" style="30" hidden="1" customWidth="1"/>
    <col min="19" max="19" width="8.21875" style="30" customWidth="1"/>
    <col min="20" max="31" width="5.21875" style="30" bestFit="1" customWidth="1"/>
    <col min="32" max="32" width="12.77734375" style="30" customWidth="1"/>
    <col min="33" max="33" width="15.77734375" style="30" customWidth="1"/>
    <col min="34" max="34" width="32.21875" style="30" customWidth="1"/>
    <col min="35" max="35" width="8.77734375" style="30" customWidth="1"/>
    <col min="36" max="37" width="14" style="30" customWidth="1"/>
    <col min="38" max="38" width="8.77734375" style="30" customWidth="1"/>
    <col min="39" max="39" width="66.44140625" style="30" bestFit="1" customWidth="1"/>
    <col min="40" max="40" width="14.5546875" style="30" bestFit="1" customWidth="1"/>
    <col min="41" max="52" width="16.77734375" style="30" bestFit="1" customWidth="1"/>
    <col min="53" max="56" width="8.77734375" style="30" customWidth="1"/>
    <col min="57" max="61" width="8.77734375" style="30" hidden="1" customWidth="1"/>
    <col min="62" max="62" width="12.44140625" style="142" hidden="1" customWidth="1"/>
    <col min="63" max="64" width="12" style="30" hidden="1" customWidth="1"/>
    <col min="65" max="75" width="0" style="30" hidden="1" customWidth="1"/>
    <col min="76" max="16384" width="8.77734375" style="30" hidden="1"/>
  </cols>
  <sheetData>
    <row r="1" spans="1:64" ht="66.75" customHeight="1" thickBot="1" x14ac:dyDescent="0.4">
      <c r="A1" s="1651"/>
      <c r="B1" s="1654"/>
      <c r="C1" s="1658" t="s">
        <v>269</v>
      </c>
      <c r="D1" s="1659"/>
      <c r="E1" s="1655" t="s">
        <v>1076</v>
      </c>
      <c r="F1" s="1656"/>
      <c r="G1" s="1656"/>
      <c r="H1" s="1656"/>
      <c r="I1" s="1657"/>
      <c r="J1" s="1655" t="s">
        <v>1077</v>
      </c>
      <c r="K1" s="1656"/>
      <c r="L1" s="1656"/>
      <c r="M1" s="1656"/>
      <c r="N1" s="1656"/>
      <c r="O1" s="1656"/>
      <c r="P1" s="1656"/>
      <c r="Q1" s="1656"/>
      <c r="R1" s="1657"/>
      <c r="S1" s="1655" t="s">
        <v>1078</v>
      </c>
      <c r="T1" s="1656"/>
      <c r="U1" s="1656"/>
      <c r="V1" s="1656"/>
      <c r="W1" s="1656"/>
      <c r="X1" s="1656"/>
      <c r="Y1" s="1656"/>
      <c r="Z1" s="1656"/>
      <c r="AA1" s="1656"/>
      <c r="AB1" s="1656"/>
      <c r="AC1" s="1656"/>
      <c r="AD1" s="1656"/>
      <c r="AE1" s="1657"/>
      <c r="AF1" s="1658" t="s">
        <v>379</v>
      </c>
      <c r="AG1" s="1659"/>
      <c r="AH1" s="1537" t="s">
        <v>1079</v>
      </c>
      <c r="AJ1" s="1658" t="s">
        <v>357</v>
      </c>
      <c r="AK1" s="1659"/>
      <c r="AM1" s="141" t="s">
        <v>1080</v>
      </c>
      <c r="AN1" s="1662" t="s">
        <v>1081</v>
      </c>
      <c r="AO1" s="1662"/>
      <c r="AP1" s="1662"/>
      <c r="AQ1" s="1662"/>
      <c r="AR1" s="1662"/>
      <c r="AS1" s="1662"/>
      <c r="AT1" s="1662"/>
      <c r="AU1" s="1662"/>
      <c r="AV1" s="1662"/>
      <c r="AW1" s="1662"/>
      <c r="AX1" s="1662"/>
      <c r="AY1" s="1662"/>
      <c r="AZ1" s="1662"/>
      <c r="BK1" s="1660" t="s">
        <v>1082</v>
      </c>
      <c r="BL1" s="1661"/>
    </row>
    <row r="2" spans="1:64" ht="182.25" customHeight="1" thickBot="1" x14ac:dyDescent="0.3">
      <c r="B2" s="143" t="s">
        <v>933</v>
      </c>
      <c r="C2" s="140" t="s">
        <v>448</v>
      </c>
      <c r="D2" s="144" t="s">
        <v>449</v>
      </c>
      <c r="E2" s="140" t="s">
        <v>328</v>
      </c>
      <c r="F2" s="145"/>
      <c r="G2" s="145" t="s">
        <v>67</v>
      </c>
      <c r="H2" s="145"/>
      <c r="I2" s="144" t="s">
        <v>68</v>
      </c>
      <c r="J2" s="140"/>
      <c r="K2" s="145" t="s">
        <v>1066</v>
      </c>
      <c r="L2" s="145"/>
      <c r="M2" s="145" t="s">
        <v>1068</v>
      </c>
      <c r="N2" s="145"/>
      <c r="O2" s="145"/>
      <c r="P2" s="145"/>
      <c r="Q2" s="144" t="s">
        <v>1073</v>
      </c>
      <c r="R2" s="146"/>
      <c r="S2" s="147" t="s">
        <v>167</v>
      </c>
      <c r="T2" s="148" t="s">
        <v>168</v>
      </c>
      <c r="U2" s="148" t="s">
        <v>169</v>
      </c>
      <c r="V2" s="148" t="s">
        <v>170</v>
      </c>
      <c r="W2" s="148" t="s">
        <v>171</v>
      </c>
      <c r="X2" s="148" t="s">
        <v>172</v>
      </c>
      <c r="Y2" s="148" t="s">
        <v>173</v>
      </c>
      <c r="Z2" s="148" t="s">
        <v>174</v>
      </c>
      <c r="AA2" s="148" t="s">
        <v>175</v>
      </c>
      <c r="AB2" s="148" t="s">
        <v>176</v>
      </c>
      <c r="AC2" s="148" t="s">
        <v>177</v>
      </c>
      <c r="AD2" s="148" t="s">
        <v>1083</v>
      </c>
      <c r="AE2" s="148" t="s">
        <v>179</v>
      </c>
      <c r="AF2" s="140" t="s">
        <v>451</v>
      </c>
      <c r="AG2" s="144" t="s">
        <v>452</v>
      </c>
      <c r="AH2" s="1570"/>
      <c r="AJ2" s="140" t="s">
        <v>1084</v>
      </c>
      <c r="AK2" s="144" t="s">
        <v>1085</v>
      </c>
      <c r="AM2" s="149" t="s">
        <v>1086</v>
      </c>
      <c r="AN2" s="132" t="s">
        <v>167</v>
      </c>
      <c r="AO2" s="132" t="s">
        <v>168</v>
      </c>
      <c r="AP2" s="132" t="s">
        <v>169</v>
      </c>
      <c r="AQ2" s="132" t="s">
        <v>170</v>
      </c>
      <c r="AR2" s="132" t="s">
        <v>171</v>
      </c>
      <c r="AS2" s="132" t="s">
        <v>172</v>
      </c>
      <c r="AT2" s="132" t="s">
        <v>173</v>
      </c>
      <c r="AU2" s="132" t="s">
        <v>174</v>
      </c>
      <c r="AV2" s="132" t="s">
        <v>175</v>
      </c>
      <c r="AW2" s="132" t="s">
        <v>176</v>
      </c>
      <c r="AX2" s="132" t="s">
        <v>177</v>
      </c>
      <c r="AY2" s="132" t="s">
        <v>1083</v>
      </c>
      <c r="AZ2" s="132" t="s">
        <v>179</v>
      </c>
      <c r="BK2" s="69" t="s">
        <v>1087</v>
      </c>
      <c r="BL2" s="69" t="s">
        <v>1088</v>
      </c>
    </row>
    <row r="3" spans="1:64" ht="30.75" customHeight="1" thickBot="1" x14ac:dyDescent="0.3">
      <c r="A3" s="150"/>
      <c r="B3" s="480" t="s">
        <v>167</v>
      </c>
      <c r="C3" s="443" t="s">
        <v>467</v>
      </c>
      <c r="D3" s="444">
        <v>8</v>
      </c>
      <c r="E3" s="445">
        <v>1</v>
      </c>
      <c r="F3" s="446"/>
      <c r="G3" s="446">
        <v>10</v>
      </c>
      <c r="H3" s="446"/>
      <c r="I3" s="444">
        <v>20</v>
      </c>
      <c r="J3" s="445"/>
      <c r="K3" s="446">
        <v>6</v>
      </c>
      <c r="L3" s="446"/>
      <c r="M3" s="446">
        <v>10</v>
      </c>
      <c r="N3" s="446"/>
      <c r="O3" s="446"/>
      <c r="P3" s="446"/>
      <c r="Q3" s="444">
        <v>4</v>
      </c>
      <c r="R3" s="447"/>
      <c r="S3" s="448" t="s">
        <v>1089</v>
      </c>
      <c r="T3" s="449" t="s">
        <v>1089</v>
      </c>
      <c r="U3" s="449" t="s">
        <v>1089</v>
      </c>
      <c r="V3" s="449" t="s">
        <v>1089</v>
      </c>
      <c r="W3" s="449" t="s">
        <v>1089</v>
      </c>
      <c r="X3" s="449" t="s">
        <v>1089</v>
      </c>
      <c r="Y3" s="449" t="s">
        <v>1089</v>
      </c>
      <c r="Z3" s="449" t="s">
        <v>1089</v>
      </c>
      <c r="AA3" s="449" t="s">
        <v>1089</v>
      </c>
      <c r="AB3" s="449" t="s">
        <v>1089</v>
      </c>
      <c r="AC3" s="449" t="s">
        <v>1089</v>
      </c>
      <c r="AD3" s="449" t="s">
        <v>1089</v>
      </c>
      <c r="AE3" s="450" t="s">
        <v>1089</v>
      </c>
      <c r="AF3" s="451" t="s">
        <v>216</v>
      </c>
      <c r="AG3" s="452" t="s">
        <v>216</v>
      </c>
      <c r="AH3" s="453" t="s">
        <v>1090</v>
      </c>
      <c r="AJ3" s="152" t="s">
        <v>68</v>
      </c>
      <c r="AK3" s="461">
        <v>3</v>
      </c>
      <c r="AM3" s="151" t="s">
        <v>167</v>
      </c>
      <c r="AN3" s="449" t="s">
        <v>1091</v>
      </c>
      <c r="AO3" s="464" t="s">
        <v>1092</v>
      </c>
      <c r="AP3" s="449" t="s">
        <v>1092</v>
      </c>
      <c r="AQ3" s="449" t="s">
        <v>1092</v>
      </c>
      <c r="AR3" s="449" t="s">
        <v>1092</v>
      </c>
      <c r="AS3" s="449" t="s">
        <v>1092</v>
      </c>
      <c r="AT3" s="449" t="s">
        <v>1092</v>
      </c>
      <c r="AU3" s="449" t="s">
        <v>1092</v>
      </c>
      <c r="AV3" s="449" t="s">
        <v>1092</v>
      </c>
      <c r="AW3" s="449" t="s">
        <v>1092</v>
      </c>
      <c r="AX3" s="449" t="s">
        <v>1092</v>
      </c>
      <c r="AY3" s="449" t="s">
        <v>1092</v>
      </c>
      <c r="AZ3" s="449" t="s">
        <v>1092</v>
      </c>
      <c r="BJ3" s="142" t="s">
        <v>1087</v>
      </c>
      <c r="BK3" s="153" t="s">
        <v>68</v>
      </c>
      <c r="BL3" s="153" t="s">
        <v>328</v>
      </c>
    </row>
    <row r="4" spans="1:64" ht="30.75" customHeight="1" thickBot="1" x14ac:dyDescent="0.3">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1089</v>
      </c>
      <c r="U4" s="449" t="s">
        <v>1089</v>
      </c>
      <c r="V4" s="449" t="s">
        <v>1089</v>
      </c>
      <c r="W4" s="449" t="s">
        <v>1089</v>
      </c>
      <c r="X4" s="449" t="s">
        <v>1089</v>
      </c>
      <c r="Y4" s="449" t="s">
        <v>1089</v>
      </c>
      <c r="Z4" s="449" t="s">
        <v>1089</v>
      </c>
      <c r="AA4" s="449" t="s">
        <v>1089</v>
      </c>
      <c r="AB4" s="449" t="s">
        <v>1089</v>
      </c>
      <c r="AC4" s="449" t="s">
        <v>1089</v>
      </c>
      <c r="AD4" s="449" t="s">
        <v>1089</v>
      </c>
      <c r="AE4" s="450" t="s">
        <v>1089</v>
      </c>
      <c r="AF4" s="451" t="s">
        <v>216</v>
      </c>
      <c r="AG4" s="452" t="s">
        <v>216</v>
      </c>
      <c r="AH4" s="455" t="s">
        <v>241</v>
      </c>
      <c r="AJ4" s="67" t="s">
        <v>67</v>
      </c>
      <c r="AK4" s="462">
        <v>2</v>
      </c>
      <c r="AM4" s="151" t="s">
        <v>168</v>
      </c>
      <c r="AN4" s="449" t="s">
        <v>1093</v>
      </c>
      <c r="AO4" s="464" t="s">
        <v>1094</v>
      </c>
      <c r="AP4" s="449" t="s">
        <v>1094</v>
      </c>
      <c r="AQ4" s="449" t="s">
        <v>1094</v>
      </c>
      <c r="AR4" s="449" t="s">
        <v>1092</v>
      </c>
      <c r="AS4" s="449" t="s">
        <v>1092</v>
      </c>
      <c r="AT4" s="449" t="s">
        <v>1092</v>
      </c>
      <c r="AU4" s="449" t="s">
        <v>1092</v>
      </c>
      <c r="AV4" s="449" t="s">
        <v>1092</v>
      </c>
      <c r="AW4" s="449" t="s">
        <v>1092</v>
      </c>
      <c r="AX4" s="449" t="s">
        <v>1092</v>
      </c>
      <c r="AY4" s="449" t="s">
        <v>1092</v>
      </c>
      <c r="AZ4" s="449" t="s">
        <v>1092</v>
      </c>
      <c r="BJ4" s="142" t="s">
        <v>1087</v>
      </c>
      <c r="BK4" s="153" t="s">
        <v>67</v>
      </c>
    </row>
    <row r="5" spans="1:64" ht="30.75" customHeight="1" thickBot="1" x14ac:dyDescent="0.3">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1089</v>
      </c>
      <c r="U5" s="449" t="s">
        <v>1089</v>
      </c>
      <c r="V5" s="449" t="s">
        <v>1089</v>
      </c>
      <c r="W5" s="449" t="s">
        <v>1089</v>
      </c>
      <c r="X5" s="449" t="s">
        <v>1089</v>
      </c>
      <c r="Y5" s="449" t="s">
        <v>1089</v>
      </c>
      <c r="Z5" s="449" t="s">
        <v>1089</v>
      </c>
      <c r="AA5" s="449" t="s">
        <v>1089</v>
      </c>
      <c r="AB5" s="449" t="s">
        <v>1089</v>
      </c>
      <c r="AC5" s="449" t="s">
        <v>1089</v>
      </c>
      <c r="AD5" s="449" t="s">
        <v>1089</v>
      </c>
      <c r="AE5" s="450" t="s">
        <v>1089</v>
      </c>
      <c r="AF5" s="451" t="s">
        <v>216</v>
      </c>
      <c r="AG5" s="452" t="s">
        <v>216</v>
      </c>
      <c r="AH5" s="455" t="s">
        <v>241</v>
      </c>
      <c r="AJ5" s="69" t="s">
        <v>328</v>
      </c>
      <c r="AK5" s="463">
        <v>1</v>
      </c>
      <c r="AM5" s="151" t="s">
        <v>169</v>
      </c>
      <c r="AN5" s="449" t="s">
        <v>1093</v>
      </c>
      <c r="AO5" s="464" t="s">
        <v>1094</v>
      </c>
      <c r="AP5" s="449" t="s">
        <v>1094</v>
      </c>
      <c r="AQ5" s="449" t="s">
        <v>1094</v>
      </c>
      <c r="AR5" s="449" t="s">
        <v>1092</v>
      </c>
      <c r="AS5" s="449" t="s">
        <v>1092</v>
      </c>
      <c r="AT5" s="449" t="s">
        <v>1092</v>
      </c>
      <c r="AU5" s="449" t="s">
        <v>1092</v>
      </c>
      <c r="AV5" s="449" t="s">
        <v>1092</v>
      </c>
      <c r="AW5" s="449" t="s">
        <v>1092</v>
      </c>
      <c r="AX5" s="449" t="s">
        <v>1092</v>
      </c>
      <c r="AY5" s="449" t="s">
        <v>1092</v>
      </c>
      <c r="AZ5" s="449" t="s">
        <v>1092</v>
      </c>
      <c r="BJ5" s="142" t="s">
        <v>1087</v>
      </c>
      <c r="BK5" s="153" t="s">
        <v>328</v>
      </c>
    </row>
    <row r="6" spans="1:64" ht="30.75" customHeight="1" thickBot="1" x14ac:dyDescent="0.3">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1089</v>
      </c>
      <c r="U6" s="449" t="s">
        <v>1089</v>
      </c>
      <c r="V6" s="449" t="s">
        <v>1089</v>
      </c>
      <c r="W6" s="449" t="s">
        <v>1089</v>
      </c>
      <c r="X6" s="449" t="s">
        <v>1089</v>
      </c>
      <c r="Y6" s="449" t="s">
        <v>1089</v>
      </c>
      <c r="Z6" s="449" t="s">
        <v>1089</v>
      </c>
      <c r="AA6" s="449" t="s">
        <v>1089</v>
      </c>
      <c r="AB6" s="449" t="s">
        <v>1089</v>
      </c>
      <c r="AC6" s="449" t="s">
        <v>1089</v>
      </c>
      <c r="AD6" s="449" t="s">
        <v>1089</v>
      </c>
      <c r="AE6" s="450" t="s">
        <v>1089</v>
      </c>
      <c r="AF6" s="451" t="s">
        <v>216</v>
      </c>
      <c r="AG6" s="452" t="s">
        <v>216</v>
      </c>
      <c r="AH6" s="455" t="s">
        <v>241</v>
      </c>
      <c r="AM6" s="151" t="s">
        <v>170</v>
      </c>
      <c r="AN6" s="464" t="s">
        <v>1093</v>
      </c>
      <c r="AO6" s="464" t="s">
        <v>1094</v>
      </c>
      <c r="AP6" s="464" t="s">
        <v>1094</v>
      </c>
      <c r="AQ6" s="464" t="s">
        <v>1094</v>
      </c>
      <c r="AR6" s="464" t="s">
        <v>1092</v>
      </c>
      <c r="AS6" s="464" t="s">
        <v>1092</v>
      </c>
      <c r="AT6" s="464" t="s">
        <v>1092</v>
      </c>
      <c r="AU6" s="464" t="s">
        <v>1092</v>
      </c>
      <c r="AV6" s="464" t="s">
        <v>1092</v>
      </c>
      <c r="AW6" s="464" t="s">
        <v>1092</v>
      </c>
      <c r="AX6" s="464" t="s">
        <v>1092</v>
      </c>
      <c r="AY6" s="464" t="s">
        <v>1092</v>
      </c>
      <c r="AZ6" s="464" t="s">
        <v>1092</v>
      </c>
      <c r="BJ6" s="142" t="s">
        <v>1087</v>
      </c>
    </row>
    <row r="7" spans="1:64" ht="42" thickBot="1" x14ac:dyDescent="0.3">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1089</v>
      </c>
      <c r="X7" s="449" t="s">
        <v>1089</v>
      </c>
      <c r="Y7" s="449" t="s">
        <v>1089</v>
      </c>
      <c r="Z7" s="449" t="s">
        <v>1089</v>
      </c>
      <c r="AA7" s="449" t="s">
        <v>1089</v>
      </c>
      <c r="AB7" s="449" t="s">
        <v>1089</v>
      </c>
      <c r="AC7" s="449" t="s">
        <v>1089</v>
      </c>
      <c r="AD7" s="449" t="s">
        <v>1089</v>
      </c>
      <c r="AE7" s="450" t="s">
        <v>1089</v>
      </c>
      <c r="AF7" s="451" t="s">
        <v>216</v>
      </c>
      <c r="AG7" s="452" t="s">
        <v>216</v>
      </c>
      <c r="AH7" s="455" t="s">
        <v>1095</v>
      </c>
      <c r="AM7" s="151" t="s">
        <v>171</v>
      </c>
      <c r="AN7" s="464" t="s">
        <v>1096</v>
      </c>
      <c r="AO7" s="382" t="s">
        <v>1097</v>
      </c>
      <c r="AP7" s="382" t="s">
        <v>1097</v>
      </c>
      <c r="AQ7" s="382" t="s">
        <v>1097</v>
      </c>
      <c r="AR7" s="382" t="s">
        <v>1098</v>
      </c>
      <c r="AS7" s="382" t="s">
        <v>1098</v>
      </c>
      <c r="AT7" s="382" t="s">
        <v>1098</v>
      </c>
      <c r="AU7" s="382" t="s">
        <v>1099</v>
      </c>
      <c r="AV7" s="382" t="s">
        <v>1099</v>
      </c>
      <c r="AW7" s="464" t="s">
        <v>1092</v>
      </c>
      <c r="AX7" s="464" t="s">
        <v>1092</v>
      </c>
      <c r="AY7" s="464" t="s">
        <v>1092</v>
      </c>
      <c r="AZ7" s="464" t="s">
        <v>1092</v>
      </c>
      <c r="BJ7" s="142" t="s">
        <v>1087</v>
      </c>
    </row>
    <row r="8" spans="1:64" ht="42" thickBot="1" x14ac:dyDescent="0.3">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1089</v>
      </c>
      <c r="X8" s="449" t="s">
        <v>1089</v>
      </c>
      <c r="Y8" s="449" t="s">
        <v>1089</v>
      </c>
      <c r="Z8" s="449" t="s">
        <v>1089</v>
      </c>
      <c r="AA8" s="449" t="s">
        <v>1089</v>
      </c>
      <c r="AB8" s="449" t="s">
        <v>1089</v>
      </c>
      <c r="AC8" s="449" t="s">
        <v>1089</v>
      </c>
      <c r="AD8" s="449" t="s">
        <v>1089</v>
      </c>
      <c r="AE8" s="450" t="s">
        <v>1089</v>
      </c>
      <c r="AF8" s="451" t="s">
        <v>216</v>
      </c>
      <c r="AG8" s="452" t="s">
        <v>216</v>
      </c>
      <c r="AH8" s="455" t="s">
        <v>1095</v>
      </c>
      <c r="AM8" s="151" t="s">
        <v>172</v>
      </c>
      <c r="AN8" s="464" t="s">
        <v>1096</v>
      </c>
      <c r="AO8" s="382" t="s">
        <v>1097</v>
      </c>
      <c r="AP8" s="382" t="s">
        <v>1097</v>
      </c>
      <c r="AQ8" s="382" t="s">
        <v>1097</v>
      </c>
      <c r="AR8" s="382" t="s">
        <v>1098</v>
      </c>
      <c r="AS8" s="382" t="s">
        <v>1098</v>
      </c>
      <c r="AT8" s="382" t="s">
        <v>1098</v>
      </c>
      <c r="AU8" s="382" t="s">
        <v>1099</v>
      </c>
      <c r="AV8" s="382" t="s">
        <v>1099</v>
      </c>
      <c r="AW8" s="464" t="s">
        <v>1092</v>
      </c>
      <c r="AX8" s="464" t="s">
        <v>1092</v>
      </c>
      <c r="AY8" s="464" t="s">
        <v>1092</v>
      </c>
      <c r="AZ8" s="464" t="s">
        <v>1092</v>
      </c>
      <c r="BJ8" s="142" t="s">
        <v>1087</v>
      </c>
    </row>
    <row r="9" spans="1:64" ht="28.2" thickBot="1" x14ac:dyDescent="0.3">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1089</v>
      </c>
      <c r="X9" s="449" t="s">
        <v>1089</v>
      </c>
      <c r="Y9" s="449" t="s">
        <v>1089</v>
      </c>
      <c r="Z9" s="449" t="s">
        <v>1089</v>
      </c>
      <c r="AA9" s="449" t="s">
        <v>1089</v>
      </c>
      <c r="AB9" s="449" t="s">
        <v>1089</v>
      </c>
      <c r="AC9" s="449" t="s">
        <v>1089</v>
      </c>
      <c r="AD9" s="449" t="s">
        <v>1089</v>
      </c>
      <c r="AE9" s="450" t="s">
        <v>1089</v>
      </c>
      <c r="AF9" s="451" t="s">
        <v>216</v>
      </c>
      <c r="AG9" s="452" t="s">
        <v>216</v>
      </c>
      <c r="AH9" s="455" t="s">
        <v>1095</v>
      </c>
      <c r="AM9" s="151" t="s">
        <v>173</v>
      </c>
      <c r="AN9" s="464" t="s">
        <v>1096</v>
      </c>
      <c r="AO9" s="382" t="s">
        <v>1097</v>
      </c>
      <c r="AP9" s="382" t="s">
        <v>1097</v>
      </c>
      <c r="AQ9" s="382" t="s">
        <v>1097</v>
      </c>
      <c r="AR9" s="382" t="s">
        <v>1098</v>
      </c>
      <c r="AS9" s="382" t="s">
        <v>1098</v>
      </c>
      <c r="AT9" s="382" t="s">
        <v>1098</v>
      </c>
      <c r="AU9" s="382" t="s">
        <v>1098</v>
      </c>
      <c r="AV9" s="382" t="s">
        <v>1098</v>
      </c>
      <c r="AW9" s="464" t="s">
        <v>1092</v>
      </c>
      <c r="AX9" s="464" t="s">
        <v>1092</v>
      </c>
      <c r="AY9" s="464" t="s">
        <v>1092</v>
      </c>
      <c r="AZ9" s="464" t="s">
        <v>1092</v>
      </c>
      <c r="BJ9" s="142" t="s">
        <v>1087</v>
      </c>
    </row>
    <row r="10" spans="1:64" ht="42" thickBot="1" x14ac:dyDescent="0.3">
      <c r="B10" s="481" t="s">
        <v>174</v>
      </c>
      <c r="C10" s="398" t="s">
        <v>70</v>
      </c>
      <c r="D10" s="452">
        <v>4</v>
      </c>
      <c r="E10" s="451">
        <v>5</v>
      </c>
      <c r="F10" s="404"/>
      <c r="G10" s="404">
        <v>20</v>
      </c>
      <c r="H10" s="404"/>
      <c r="I10" s="452" t="s">
        <v>1049</v>
      </c>
      <c r="J10" s="451"/>
      <c r="K10" s="404">
        <v>20</v>
      </c>
      <c r="L10" s="404"/>
      <c r="M10" s="404">
        <v>30</v>
      </c>
      <c r="N10" s="404"/>
      <c r="O10" s="404"/>
      <c r="P10" s="404"/>
      <c r="Q10" s="452">
        <v>10</v>
      </c>
      <c r="R10" s="454"/>
      <c r="S10" s="451">
        <v>12</v>
      </c>
      <c r="T10" s="404">
        <v>12</v>
      </c>
      <c r="U10" s="449" t="s">
        <v>1089</v>
      </c>
      <c r="V10" s="404">
        <v>12</v>
      </c>
      <c r="W10" s="449" t="s">
        <v>1089</v>
      </c>
      <c r="X10" s="449" t="s">
        <v>1089</v>
      </c>
      <c r="Y10" s="449" t="s">
        <v>1089</v>
      </c>
      <c r="Z10" s="449" t="s">
        <v>1089</v>
      </c>
      <c r="AA10" s="449" t="s">
        <v>1089</v>
      </c>
      <c r="AB10" s="449" t="s">
        <v>1089</v>
      </c>
      <c r="AC10" s="449" t="s">
        <v>1089</v>
      </c>
      <c r="AD10" s="449" t="s">
        <v>1089</v>
      </c>
      <c r="AE10" s="450" t="s">
        <v>1089</v>
      </c>
      <c r="AF10" s="451" t="s">
        <v>216</v>
      </c>
      <c r="AG10" s="452" t="s">
        <v>216</v>
      </c>
      <c r="AH10" s="455" t="s">
        <v>1095</v>
      </c>
      <c r="AM10" s="151" t="s">
        <v>174</v>
      </c>
      <c r="AN10" s="464" t="s">
        <v>1096</v>
      </c>
      <c r="AO10" s="382" t="s">
        <v>1097</v>
      </c>
      <c r="AP10" s="382" t="s">
        <v>1099</v>
      </c>
      <c r="AQ10" s="382" t="s">
        <v>1097</v>
      </c>
      <c r="AR10" s="382" t="s">
        <v>1099</v>
      </c>
      <c r="AS10" s="382" t="s">
        <v>1099</v>
      </c>
      <c r="AT10" s="382" t="s">
        <v>1098</v>
      </c>
      <c r="AU10" s="382" t="s">
        <v>1098</v>
      </c>
      <c r="AV10" s="382" t="s">
        <v>1098</v>
      </c>
      <c r="AW10" s="464" t="s">
        <v>1092</v>
      </c>
      <c r="AX10" s="464" t="s">
        <v>1092</v>
      </c>
      <c r="AY10" s="464" t="s">
        <v>1092</v>
      </c>
      <c r="AZ10" s="464" t="s">
        <v>1092</v>
      </c>
      <c r="BJ10" s="142" t="s">
        <v>1087</v>
      </c>
    </row>
    <row r="11" spans="1:64" ht="42" thickBot="1" x14ac:dyDescent="0.3">
      <c r="B11" s="481" t="s">
        <v>175</v>
      </c>
      <c r="C11" s="398" t="s">
        <v>70</v>
      </c>
      <c r="D11" s="452">
        <v>4</v>
      </c>
      <c r="E11" s="451">
        <v>5</v>
      </c>
      <c r="F11" s="404"/>
      <c r="G11" s="404">
        <v>20</v>
      </c>
      <c r="H11" s="404"/>
      <c r="I11" s="452" t="s">
        <v>1049</v>
      </c>
      <c r="J11" s="451"/>
      <c r="K11" s="404">
        <v>20</v>
      </c>
      <c r="L11" s="404"/>
      <c r="M11" s="404">
        <v>30</v>
      </c>
      <c r="N11" s="404"/>
      <c r="O11" s="404"/>
      <c r="P11" s="404"/>
      <c r="Q11" s="452">
        <v>10</v>
      </c>
      <c r="R11" s="454"/>
      <c r="S11" s="451">
        <v>12</v>
      </c>
      <c r="T11" s="404">
        <v>12</v>
      </c>
      <c r="U11" s="449" t="s">
        <v>1089</v>
      </c>
      <c r="V11" s="404">
        <v>12</v>
      </c>
      <c r="W11" s="449" t="s">
        <v>1089</v>
      </c>
      <c r="X11" s="449" t="s">
        <v>1089</v>
      </c>
      <c r="Y11" s="449" t="s">
        <v>1089</v>
      </c>
      <c r="Z11" s="449" t="s">
        <v>1089</v>
      </c>
      <c r="AA11" s="449" t="s">
        <v>1089</v>
      </c>
      <c r="AB11" s="449" t="s">
        <v>1089</v>
      </c>
      <c r="AC11" s="449" t="s">
        <v>1089</v>
      </c>
      <c r="AD11" s="449" t="s">
        <v>1089</v>
      </c>
      <c r="AE11" s="450" t="s">
        <v>1089</v>
      </c>
      <c r="AF11" s="451" t="s">
        <v>216</v>
      </c>
      <c r="AG11" s="452" t="s">
        <v>216</v>
      </c>
      <c r="AH11" s="455" t="s">
        <v>1095</v>
      </c>
      <c r="AM11" s="151" t="s">
        <v>175</v>
      </c>
      <c r="AN11" s="464" t="s">
        <v>1096</v>
      </c>
      <c r="AO11" s="382" t="s">
        <v>1097</v>
      </c>
      <c r="AP11" s="382" t="s">
        <v>1099</v>
      </c>
      <c r="AQ11" s="382" t="s">
        <v>1097</v>
      </c>
      <c r="AR11" s="382" t="s">
        <v>1099</v>
      </c>
      <c r="AS11" s="382" t="s">
        <v>1099</v>
      </c>
      <c r="AT11" s="382" t="s">
        <v>1098</v>
      </c>
      <c r="AU11" s="382" t="s">
        <v>1098</v>
      </c>
      <c r="AV11" s="382" t="s">
        <v>1098</v>
      </c>
      <c r="AW11" s="464" t="s">
        <v>1092</v>
      </c>
      <c r="AX11" s="464" t="s">
        <v>1092</v>
      </c>
      <c r="AY11" s="464" t="s">
        <v>1092</v>
      </c>
      <c r="AZ11" s="464" t="s">
        <v>1092</v>
      </c>
      <c r="BJ11" s="142" t="s">
        <v>1087</v>
      </c>
    </row>
    <row r="12" spans="1:64" ht="42" thickBot="1" x14ac:dyDescent="0.3">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1089</v>
      </c>
      <c r="AA12" s="449" t="s">
        <v>1089</v>
      </c>
      <c r="AB12" s="449" t="s">
        <v>1089</v>
      </c>
      <c r="AC12" s="449" t="s">
        <v>1089</v>
      </c>
      <c r="AD12" s="449" t="s">
        <v>1089</v>
      </c>
      <c r="AE12" s="450" t="s">
        <v>1089</v>
      </c>
      <c r="AF12" s="451" t="s">
        <v>216</v>
      </c>
      <c r="AG12" s="452" t="s">
        <v>216</v>
      </c>
      <c r="AH12" s="455" t="s">
        <v>1095</v>
      </c>
      <c r="AM12" s="151" t="s">
        <v>176</v>
      </c>
      <c r="AN12" s="464" t="s">
        <v>1100</v>
      </c>
      <c r="AO12" s="464" t="s">
        <v>1101</v>
      </c>
      <c r="AP12" s="464" t="s">
        <v>1101</v>
      </c>
      <c r="AQ12" s="464" t="s">
        <v>1101</v>
      </c>
      <c r="AR12" s="464" t="s">
        <v>1102</v>
      </c>
      <c r="AS12" s="464" t="s">
        <v>1102</v>
      </c>
      <c r="AT12" s="464" t="s">
        <v>1102</v>
      </c>
      <c r="AU12" s="382" t="s">
        <v>1099</v>
      </c>
      <c r="AV12" s="382" t="s">
        <v>1099</v>
      </c>
      <c r="AW12" s="382" t="s">
        <v>1103</v>
      </c>
      <c r="AX12" s="382" t="s">
        <v>1099</v>
      </c>
      <c r="AY12" s="382" t="s">
        <v>1099</v>
      </c>
      <c r="AZ12" s="464" t="s">
        <v>1092</v>
      </c>
      <c r="BJ12" s="142" t="s">
        <v>1087</v>
      </c>
    </row>
    <row r="13" spans="1:64" ht="42" thickBot="1" x14ac:dyDescent="0.3">
      <c r="B13" s="481" t="s">
        <v>177</v>
      </c>
      <c r="C13" s="398" t="s">
        <v>216</v>
      </c>
      <c r="D13" s="452">
        <v>2</v>
      </c>
      <c r="E13" s="451">
        <v>5</v>
      </c>
      <c r="F13" s="404"/>
      <c r="G13" s="404">
        <v>20</v>
      </c>
      <c r="H13" s="404"/>
      <c r="I13" s="452" t="s">
        <v>1049</v>
      </c>
      <c r="J13" s="451"/>
      <c r="K13" s="404">
        <v>20</v>
      </c>
      <c r="L13" s="404"/>
      <c r="M13" s="404">
        <v>30</v>
      </c>
      <c r="N13" s="404"/>
      <c r="O13" s="404"/>
      <c r="P13" s="404"/>
      <c r="Q13" s="452">
        <v>10</v>
      </c>
      <c r="R13" s="454"/>
      <c r="S13" s="451">
        <v>12</v>
      </c>
      <c r="T13" s="404">
        <v>12</v>
      </c>
      <c r="U13" s="449" t="s">
        <v>1089</v>
      </c>
      <c r="V13" s="404">
        <v>12</v>
      </c>
      <c r="W13" s="449" t="s">
        <v>1089</v>
      </c>
      <c r="X13" s="449" t="s">
        <v>1089</v>
      </c>
      <c r="Y13" s="404">
        <v>12</v>
      </c>
      <c r="Z13" s="449" t="s">
        <v>1089</v>
      </c>
      <c r="AA13" s="449" t="s">
        <v>1089</v>
      </c>
      <c r="AB13" s="449" t="s">
        <v>1089</v>
      </c>
      <c r="AC13" s="449" t="s">
        <v>1089</v>
      </c>
      <c r="AD13" s="449" t="s">
        <v>1089</v>
      </c>
      <c r="AE13" s="450" t="s">
        <v>1089</v>
      </c>
      <c r="AF13" s="451" t="s">
        <v>216</v>
      </c>
      <c r="AG13" s="452" t="s">
        <v>216</v>
      </c>
      <c r="AH13" s="455" t="s">
        <v>1095</v>
      </c>
      <c r="AM13" s="151" t="s">
        <v>177</v>
      </c>
      <c r="AN13" s="464" t="s">
        <v>1100</v>
      </c>
      <c r="AO13" s="464" t="s">
        <v>1101</v>
      </c>
      <c r="AP13" s="382" t="s">
        <v>1099</v>
      </c>
      <c r="AQ13" s="464" t="s">
        <v>1101</v>
      </c>
      <c r="AR13" s="382" t="s">
        <v>1099</v>
      </c>
      <c r="AS13" s="382" t="s">
        <v>1099</v>
      </c>
      <c r="AT13" s="464" t="s">
        <v>1102</v>
      </c>
      <c r="AU13" s="382" t="s">
        <v>1099</v>
      </c>
      <c r="AV13" s="382" t="s">
        <v>1099</v>
      </c>
      <c r="AW13" s="382" t="s">
        <v>1099</v>
      </c>
      <c r="AX13" s="382" t="s">
        <v>1103</v>
      </c>
      <c r="AY13" s="382" t="s">
        <v>1103</v>
      </c>
      <c r="AZ13" s="464" t="s">
        <v>1092</v>
      </c>
      <c r="BJ13" s="142" t="s">
        <v>1087</v>
      </c>
    </row>
    <row r="14" spans="1:64" ht="42" thickBot="1" x14ac:dyDescent="0.3">
      <c r="B14" s="481" t="s">
        <v>1083</v>
      </c>
      <c r="C14" s="398" t="s">
        <v>216</v>
      </c>
      <c r="D14" s="452">
        <v>2</v>
      </c>
      <c r="E14" s="451">
        <v>5</v>
      </c>
      <c r="F14" s="404"/>
      <c r="G14" s="404">
        <v>20</v>
      </c>
      <c r="H14" s="404"/>
      <c r="I14" s="452" t="s">
        <v>1049</v>
      </c>
      <c r="J14" s="451"/>
      <c r="K14" s="404">
        <v>20</v>
      </c>
      <c r="L14" s="404"/>
      <c r="M14" s="404">
        <v>30</v>
      </c>
      <c r="N14" s="404"/>
      <c r="O14" s="404"/>
      <c r="P14" s="404"/>
      <c r="Q14" s="452">
        <v>10</v>
      </c>
      <c r="R14" s="454"/>
      <c r="S14" s="451">
        <v>12</v>
      </c>
      <c r="T14" s="404">
        <v>12</v>
      </c>
      <c r="U14" s="449" t="s">
        <v>1089</v>
      </c>
      <c r="V14" s="404">
        <v>12</v>
      </c>
      <c r="W14" s="449" t="s">
        <v>1089</v>
      </c>
      <c r="X14" s="449" t="s">
        <v>1089</v>
      </c>
      <c r="Y14" s="404">
        <v>12</v>
      </c>
      <c r="Z14" s="449" t="s">
        <v>1089</v>
      </c>
      <c r="AA14" s="449" t="s">
        <v>1089</v>
      </c>
      <c r="AB14" s="449" t="s">
        <v>1089</v>
      </c>
      <c r="AC14" s="449" t="s">
        <v>1089</v>
      </c>
      <c r="AD14" s="449" t="s">
        <v>1089</v>
      </c>
      <c r="AE14" s="450" t="s">
        <v>1089</v>
      </c>
      <c r="AF14" s="451" t="s">
        <v>216</v>
      </c>
      <c r="AG14" s="452" t="s">
        <v>216</v>
      </c>
      <c r="AH14" s="455" t="s">
        <v>1095</v>
      </c>
      <c r="AM14" s="151" t="s">
        <v>1083</v>
      </c>
      <c r="AN14" s="464" t="s">
        <v>1100</v>
      </c>
      <c r="AO14" s="464" t="s">
        <v>1101</v>
      </c>
      <c r="AP14" s="382" t="s">
        <v>1099</v>
      </c>
      <c r="AQ14" s="464" t="s">
        <v>1101</v>
      </c>
      <c r="AR14" s="382" t="s">
        <v>1099</v>
      </c>
      <c r="AS14" s="382" t="s">
        <v>1099</v>
      </c>
      <c r="AT14" s="464" t="s">
        <v>1102</v>
      </c>
      <c r="AU14" s="382" t="s">
        <v>1099</v>
      </c>
      <c r="AV14" s="382" t="s">
        <v>1099</v>
      </c>
      <c r="AW14" s="382" t="s">
        <v>1099</v>
      </c>
      <c r="AX14" s="382" t="s">
        <v>1103</v>
      </c>
      <c r="AY14" s="382" t="s">
        <v>1103</v>
      </c>
      <c r="AZ14" s="464" t="s">
        <v>1092</v>
      </c>
      <c r="BJ14" s="142" t="s">
        <v>1087</v>
      </c>
    </row>
    <row r="15" spans="1:64" ht="42" thickBot="1" x14ac:dyDescent="0.3">
      <c r="B15" s="482" t="s">
        <v>179</v>
      </c>
      <c r="C15" s="364" t="s">
        <v>486</v>
      </c>
      <c r="D15" s="442">
        <v>1</v>
      </c>
      <c r="E15" s="456">
        <v>1</v>
      </c>
      <c r="F15" s="388"/>
      <c r="G15" s="388" t="s">
        <v>1037</v>
      </c>
      <c r="H15" s="388"/>
      <c r="I15" s="442" t="s">
        <v>1037</v>
      </c>
      <c r="J15" s="456"/>
      <c r="K15" s="388" t="s">
        <v>1037</v>
      </c>
      <c r="L15" s="388"/>
      <c r="M15" s="388" t="s">
        <v>1037</v>
      </c>
      <c r="N15" s="388"/>
      <c r="O15" s="388"/>
      <c r="P15" s="388"/>
      <c r="Q15" s="442" t="s">
        <v>1037</v>
      </c>
      <c r="R15" s="457"/>
      <c r="S15" s="458" t="s">
        <v>1089</v>
      </c>
      <c r="T15" s="459" t="s">
        <v>1089</v>
      </c>
      <c r="U15" s="459" t="s">
        <v>1089</v>
      </c>
      <c r="V15" s="459" t="s">
        <v>1089</v>
      </c>
      <c r="W15" s="459" t="s">
        <v>1089</v>
      </c>
      <c r="X15" s="459" t="s">
        <v>1089</v>
      </c>
      <c r="Y15" s="459" t="s">
        <v>1089</v>
      </c>
      <c r="Z15" s="459" t="s">
        <v>1089</v>
      </c>
      <c r="AA15" s="459" t="s">
        <v>1089</v>
      </c>
      <c r="AB15" s="459" t="s">
        <v>1089</v>
      </c>
      <c r="AC15" s="459" t="s">
        <v>1089</v>
      </c>
      <c r="AD15" s="459" t="s">
        <v>1089</v>
      </c>
      <c r="AE15" s="460" t="s">
        <v>1089</v>
      </c>
      <c r="AF15" s="456" t="s">
        <v>216</v>
      </c>
      <c r="AG15" s="442" t="s">
        <v>216</v>
      </c>
      <c r="AH15" s="426" t="s">
        <v>1095</v>
      </c>
      <c r="AM15" s="151" t="s">
        <v>179</v>
      </c>
      <c r="AN15" s="382" t="s">
        <v>1099</v>
      </c>
      <c r="AO15" s="382" t="s">
        <v>1099</v>
      </c>
      <c r="AP15" s="382" t="s">
        <v>1099</v>
      </c>
      <c r="AQ15" s="382" t="s">
        <v>1099</v>
      </c>
      <c r="AR15" s="382" t="s">
        <v>1099</v>
      </c>
      <c r="AS15" s="382" t="s">
        <v>1099</v>
      </c>
      <c r="AT15" s="382" t="s">
        <v>1099</v>
      </c>
      <c r="AU15" s="382" t="s">
        <v>1099</v>
      </c>
      <c r="AV15" s="382" t="s">
        <v>1099</v>
      </c>
      <c r="AW15" s="382" t="s">
        <v>1099</v>
      </c>
      <c r="AX15" s="382" t="s">
        <v>1099</v>
      </c>
      <c r="AY15" s="382" t="s">
        <v>1099</v>
      </c>
      <c r="AZ15" s="382" t="s">
        <v>1104</v>
      </c>
      <c r="BJ15" s="142" t="s">
        <v>1088</v>
      </c>
    </row>
    <row r="16" spans="1:64" x14ac:dyDescent="0.25">
      <c r="Q16" s="34"/>
    </row>
    <row r="17" spans="17:17" x14ac:dyDescent="0.25">
      <c r="Q17" s="30"/>
    </row>
    <row r="18" spans="17:17" x14ac:dyDescent="0.25">
      <c r="Q18" s="30"/>
    </row>
    <row r="19" spans="17:17" x14ac:dyDescent="0.25">
      <c r="Q19" s="30"/>
    </row>
    <row r="20" spans="17:17" ht="184.5" hidden="1" customHeight="1" x14ac:dyDescent="0.25"/>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3.8" zeroHeight="1" outlineLevelCol="1" x14ac:dyDescent="0.25"/>
  <cols>
    <col min="1" max="1" width="9.21875" style="30" customWidth="1"/>
    <col min="2" max="2" width="37.21875" style="30" customWidth="1"/>
    <col min="3" max="4" width="17.77734375" style="30" customWidth="1"/>
    <col min="5" max="5" width="14.5546875" style="30" customWidth="1"/>
    <col min="6" max="6" width="15.77734375" style="30" customWidth="1"/>
    <col min="7" max="7" width="13.21875" style="30" customWidth="1"/>
    <col min="8" max="9" width="11.77734375" style="30" customWidth="1"/>
    <col min="10" max="10" width="13" style="30" customWidth="1"/>
    <col min="11" max="11" width="12.21875" style="30" customWidth="1"/>
    <col min="12" max="13" width="10.77734375" style="30" customWidth="1"/>
    <col min="14" max="14" width="14.21875" style="30" customWidth="1"/>
    <col min="15" max="15" width="8.5546875" style="30" customWidth="1"/>
    <col min="16" max="16" width="10.77734375" style="30" customWidth="1"/>
    <col min="17" max="17" width="19" style="30" customWidth="1"/>
    <col min="18" max="18" width="16" style="30" customWidth="1"/>
    <col min="19" max="19" width="14.44140625" style="30" customWidth="1"/>
    <col min="20" max="22" width="15.77734375" style="30" customWidth="1"/>
    <col min="23" max="26" width="10.77734375" style="30" customWidth="1"/>
    <col min="27" max="27" width="18.77734375" style="30" bestFit="1" customWidth="1"/>
    <col min="28" max="28" width="13.44140625" style="30" customWidth="1"/>
    <col min="29" max="29" width="9.21875" style="30" customWidth="1"/>
    <col min="30" max="30" width="18" style="30" customWidth="1"/>
    <col min="31" max="31" width="12.44140625" style="30" customWidth="1"/>
    <col min="32" max="32" width="9.21875" style="30" customWidth="1"/>
    <col min="33" max="33" width="59.77734375" style="30" customWidth="1"/>
    <col min="34" max="34" width="24.77734375" style="30" customWidth="1"/>
    <col min="35" max="35" width="18.77734375" style="30" customWidth="1"/>
    <col min="36" max="36" width="9.21875" style="30" customWidth="1"/>
    <col min="37" max="37" width="46.77734375" style="30" bestFit="1" customWidth="1"/>
    <col min="38" max="38" width="24.21875" style="30" customWidth="1"/>
    <col min="39" max="39" width="13.77734375" style="30" customWidth="1"/>
    <col min="40" max="40" width="9.21875" style="30" customWidth="1"/>
    <col min="41" max="41" width="28.21875" style="30" customWidth="1"/>
    <col min="42" max="42" width="13" style="30" customWidth="1"/>
    <col min="43" max="44" width="9.21875" style="30" customWidth="1"/>
    <col min="45" max="45" width="25.21875" style="30" bestFit="1" customWidth="1"/>
    <col min="46" max="46" width="20.44140625" style="30" bestFit="1" customWidth="1"/>
    <col min="47" max="47" width="31.21875" style="30" customWidth="1"/>
    <col min="48" max="48" width="9.21875" style="30" customWidth="1"/>
    <col min="49" max="49" width="13" style="30" hidden="1" customWidth="1" outlineLevel="1"/>
    <col min="50" max="50" width="9.21875" style="30" hidden="1" customWidth="1" outlineLevel="1"/>
    <col min="51" max="51" width="23.77734375" style="30" hidden="1" customWidth="1" outlineLevel="1"/>
    <col min="52" max="52" width="31.21875" style="30" hidden="1" customWidth="1" outlineLevel="1"/>
    <col min="53" max="53" width="9.21875" style="30" hidden="1" customWidth="1" outlineLevel="1"/>
    <col min="54" max="54" width="17.77734375" style="30" hidden="1" customWidth="1" outlineLevel="1"/>
    <col min="55" max="55" width="15.21875" style="30" hidden="1" customWidth="1" outlineLevel="1"/>
    <col min="56" max="102" width="9.21875" style="30" hidden="1" customWidth="1" outlineLevel="1"/>
    <col min="103" max="103" width="9.21875" style="30" hidden="1" customWidth="1" outlineLevel="1" collapsed="1"/>
    <col min="104" max="104" width="17.77734375" style="30" hidden="1" customWidth="1" collapsed="1"/>
    <col min="105" max="149" width="17.77734375" style="30" hidden="1" customWidth="1"/>
    <col min="150" max="16384" width="9.21875" style="30" hidden="1"/>
  </cols>
  <sheetData>
    <row r="1" spans="1:55" ht="14.4" thickBot="1" x14ac:dyDescent="0.3">
      <c r="A1" s="1651"/>
      <c r="B1" s="1651"/>
    </row>
    <row r="2" spans="1:55" ht="31.5" customHeight="1" thickBot="1" x14ac:dyDescent="0.35">
      <c r="A2" s="1651"/>
      <c r="B2" s="1651"/>
      <c r="C2" s="1665" t="s">
        <v>269</v>
      </c>
      <c r="D2" s="1666"/>
      <c r="E2" s="1655" t="s">
        <v>379</v>
      </c>
      <c r="F2" s="1656"/>
      <c r="G2" s="1656"/>
      <c r="H2" s="1655" t="s">
        <v>357</v>
      </c>
      <c r="I2" s="1656"/>
      <c r="J2" s="1656"/>
      <c r="K2" s="1656"/>
      <c r="L2" s="1657"/>
      <c r="N2" s="1667" t="s">
        <v>1105</v>
      </c>
      <c r="O2" s="1668"/>
      <c r="Q2" s="1663" t="s">
        <v>1106</v>
      </c>
      <c r="R2" s="1664"/>
      <c r="T2" s="1532" t="s">
        <v>1107</v>
      </c>
      <c r="U2" s="1602"/>
      <c r="V2" s="1602"/>
      <c r="W2" s="1602"/>
      <c r="X2" s="1602"/>
      <c r="Y2" s="1673"/>
      <c r="AA2" s="1674" t="s">
        <v>1108</v>
      </c>
      <c r="AB2" s="1675"/>
      <c r="AC2" s="102"/>
      <c r="AD2" s="1674" t="s">
        <v>1108</v>
      </c>
      <c r="AE2" s="1675"/>
      <c r="AG2" s="1674" t="s">
        <v>1109</v>
      </c>
      <c r="AH2" s="1676"/>
      <c r="AI2" s="1675"/>
      <c r="AK2" s="1674" t="s">
        <v>1109</v>
      </c>
      <c r="AL2" s="1676"/>
      <c r="AM2" s="1675"/>
      <c r="AO2" s="1669" t="s">
        <v>1109</v>
      </c>
      <c r="AP2" s="1670"/>
      <c r="AQ2" s="235"/>
      <c r="AS2" s="1618" t="s">
        <v>1110</v>
      </c>
      <c r="AT2" s="1671"/>
      <c r="AU2" s="1672"/>
      <c r="AY2" s="236"/>
      <c r="AZ2" s="237" t="s">
        <v>280</v>
      </c>
      <c r="BB2" s="236" t="s">
        <v>1111</v>
      </c>
      <c r="BC2" s="237" t="s">
        <v>1112</v>
      </c>
    </row>
    <row r="3" spans="1:55" ht="42" thickBot="1" x14ac:dyDescent="0.3">
      <c r="B3" s="238" t="s">
        <v>933</v>
      </c>
      <c r="C3" s="214" t="s">
        <v>448</v>
      </c>
      <c r="D3" s="105" t="s">
        <v>449</v>
      </c>
      <c r="E3" s="483" t="s">
        <v>451</v>
      </c>
      <c r="F3" s="105" t="s">
        <v>452</v>
      </c>
      <c r="G3" s="485" t="s">
        <v>450</v>
      </c>
      <c r="H3" s="484" t="s">
        <v>68</v>
      </c>
      <c r="I3" s="239" t="s">
        <v>472</v>
      </c>
      <c r="J3" s="239" t="s">
        <v>67</v>
      </c>
      <c r="K3" s="239" t="s">
        <v>482</v>
      </c>
      <c r="L3" s="240" t="s">
        <v>328</v>
      </c>
      <c r="N3" s="486" t="s">
        <v>68</v>
      </c>
      <c r="O3" s="367">
        <v>10</v>
      </c>
      <c r="Q3" s="269" t="s">
        <v>1080</v>
      </c>
      <c r="R3" s="442">
        <v>10</v>
      </c>
      <c r="T3" s="214"/>
      <c r="U3" s="1532" t="s">
        <v>1113</v>
      </c>
      <c r="V3" s="1602"/>
      <c r="W3" s="1602"/>
      <c r="X3" s="1602"/>
      <c r="Y3" s="1673"/>
      <c r="AA3" s="214" t="s">
        <v>1114</v>
      </c>
      <c r="AB3" s="213" t="s">
        <v>1115</v>
      </c>
      <c r="AC3" s="102"/>
      <c r="AD3" s="214" t="s">
        <v>1116</v>
      </c>
      <c r="AE3" s="213" t="s">
        <v>1115</v>
      </c>
      <c r="AG3" s="213" t="s">
        <v>1117</v>
      </c>
      <c r="AH3" s="212" t="s">
        <v>121</v>
      </c>
      <c r="AI3" s="105" t="s">
        <v>1118</v>
      </c>
      <c r="AK3" s="104" t="s">
        <v>1117</v>
      </c>
      <c r="AL3" s="105" t="s">
        <v>121</v>
      </c>
      <c r="AM3" s="106" t="s">
        <v>1118</v>
      </c>
      <c r="AO3" s="659" t="s">
        <v>1117</v>
      </c>
      <c r="AP3" s="78" t="s">
        <v>1118</v>
      </c>
      <c r="AS3" s="236" t="s">
        <v>1119</v>
      </c>
      <c r="AT3" s="241" t="s">
        <v>1120</v>
      </c>
      <c r="AU3" s="237" t="s">
        <v>1079</v>
      </c>
      <c r="AY3" s="242" t="s">
        <v>1121</v>
      </c>
      <c r="AZ3" s="243" t="s">
        <v>1111</v>
      </c>
      <c r="BB3" s="112" t="s">
        <v>68</v>
      </c>
      <c r="BC3" s="113" t="s">
        <v>328</v>
      </c>
    </row>
    <row r="4" spans="1:55" ht="55.8" thickBot="1" x14ac:dyDescent="0.3">
      <c r="B4" s="68" t="s">
        <v>196</v>
      </c>
      <c r="C4" s="404" t="s">
        <v>467</v>
      </c>
      <c r="D4" s="382">
        <v>8</v>
      </c>
      <c r="E4" s="404" t="s">
        <v>213</v>
      </c>
      <c r="F4" s="404" t="s">
        <v>70</v>
      </c>
      <c r="G4" s="382" t="s">
        <v>212</v>
      </c>
      <c r="H4" s="404">
        <v>3</v>
      </c>
      <c r="I4" s="404">
        <v>2.5</v>
      </c>
      <c r="J4" s="404">
        <v>2</v>
      </c>
      <c r="K4" s="404">
        <v>1.5</v>
      </c>
      <c r="L4" s="382">
        <v>1</v>
      </c>
      <c r="M4" s="22"/>
      <c r="N4" s="100" t="s">
        <v>472</v>
      </c>
      <c r="O4" s="382">
        <v>8</v>
      </c>
      <c r="T4" s="134" t="s">
        <v>1122</v>
      </c>
      <c r="U4" s="487" t="s">
        <v>328</v>
      </c>
      <c r="V4" s="244" t="s">
        <v>482</v>
      </c>
      <c r="W4" s="244" t="s">
        <v>67</v>
      </c>
      <c r="X4" s="244" t="s">
        <v>472</v>
      </c>
      <c r="Y4" s="244" t="s">
        <v>68</v>
      </c>
      <c r="AA4" s="79" t="s">
        <v>1123</v>
      </c>
      <c r="AB4" s="404">
        <v>1</v>
      </c>
      <c r="AC4" s="102"/>
      <c r="AD4" s="265" t="s">
        <v>1124</v>
      </c>
      <c r="AE4" s="404">
        <v>0.75</v>
      </c>
      <c r="AG4" s="79" t="s">
        <v>1125</v>
      </c>
      <c r="AH4" s="382" t="s">
        <v>1035</v>
      </c>
      <c r="AI4" s="404">
        <v>1</v>
      </c>
      <c r="AK4" s="99" t="s">
        <v>1026</v>
      </c>
      <c r="AL4" s="382" t="s">
        <v>1027</v>
      </c>
      <c r="AM4" s="452">
        <v>1.1499999999999999</v>
      </c>
      <c r="AO4" s="265" t="s">
        <v>1039</v>
      </c>
      <c r="AP4" s="404">
        <v>1</v>
      </c>
      <c r="AS4" s="245" t="s">
        <v>467</v>
      </c>
      <c r="AT4" s="383">
        <v>8</v>
      </c>
      <c r="AU4" s="490" t="s">
        <v>1126</v>
      </c>
      <c r="AY4" s="67" t="s">
        <v>1127</v>
      </c>
      <c r="AZ4" s="243" t="s">
        <v>1111</v>
      </c>
      <c r="BB4" s="154" t="s">
        <v>472</v>
      </c>
      <c r="BC4" s="246"/>
    </row>
    <row r="5" spans="1:55" ht="27.6" x14ac:dyDescent="0.25">
      <c r="B5" s="68" t="s">
        <v>197</v>
      </c>
      <c r="C5" s="404" t="s">
        <v>213</v>
      </c>
      <c r="D5" s="382">
        <v>6</v>
      </c>
      <c r="E5" s="404" t="s">
        <v>213</v>
      </c>
      <c r="F5" s="404" t="s">
        <v>70</v>
      </c>
      <c r="G5" s="382" t="s">
        <v>240</v>
      </c>
      <c r="H5" s="404">
        <v>3</v>
      </c>
      <c r="I5" s="404">
        <v>2.5</v>
      </c>
      <c r="J5" s="404">
        <v>2</v>
      </c>
      <c r="K5" s="404">
        <v>1.5</v>
      </c>
      <c r="L5" s="382">
        <v>1</v>
      </c>
      <c r="M5" s="22"/>
      <c r="N5" s="100" t="s">
        <v>67</v>
      </c>
      <c r="O5" s="382">
        <v>5</v>
      </c>
      <c r="T5" s="100" t="s">
        <v>328</v>
      </c>
      <c r="U5" s="488">
        <v>1</v>
      </c>
      <c r="V5" s="437">
        <v>2</v>
      </c>
      <c r="W5" s="437">
        <v>4</v>
      </c>
      <c r="X5" s="437">
        <v>6</v>
      </c>
      <c r="Y5" s="437">
        <v>8</v>
      </c>
      <c r="AA5" s="79" t="s">
        <v>1128</v>
      </c>
      <c r="AB5" s="404">
        <v>0.8</v>
      </c>
      <c r="AC5" s="102"/>
      <c r="AD5" s="265" t="s">
        <v>1129</v>
      </c>
      <c r="AE5" s="404">
        <v>0.8</v>
      </c>
      <c r="AG5" s="79" t="s">
        <v>1130</v>
      </c>
      <c r="AH5" s="382" t="s">
        <v>1027</v>
      </c>
      <c r="AI5" s="404">
        <v>1.1499999999999999</v>
      </c>
      <c r="AK5" s="99" t="s">
        <v>1030</v>
      </c>
      <c r="AL5" s="382" t="s">
        <v>1031</v>
      </c>
      <c r="AM5" s="452">
        <v>1.1000000000000001</v>
      </c>
      <c r="AO5" s="100" t="s">
        <v>1131</v>
      </c>
      <c r="AP5" s="404">
        <v>1</v>
      </c>
      <c r="AS5" s="215" t="s">
        <v>213</v>
      </c>
      <c r="AT5" s="404">
        <v>6</v>
      </c>
      <c r="AU5" s="386" t="s">
        <v>1132</v>
      </c>
      <c r="AY5" s="67" t="s">
        <v>198</v>
      </c>
      <c r="AZ5" s="243" t="s">
        <v>1111</v>
      </c>
      <c r="BB5" s="154" t="s">
        <v>67</v>
      </c>
      <c r="BC5" s="246"/>
    </row>
    <row r="6" spans="1:55" ht="42" thickBot="1" x14ac:dyDescent="0.3">
      <c r="B6" s="68" t="s">
        <v>198</v>
      </c>
      <c r="C6" s="404" t="s">
        <v>70</v>
      </c>
      <c r="D6" s="404">
        <v>4</v>
      </c>
      <c r="E6" s="404" t="s">
        <v>216</v>
      </c>
      <c r="F6" s="404" t="s">
        <v>70</v>
      </c>
      <c r="G6" s="382" t="s">
        <v>240</v>
      </c>
      <c r="H6" s="404">
        <v>3</v>
      </c>
      <c r="I6" s="404">
        <v>2.5</v>
      </c>
      <c r="J6" s="404">
        <v>2</v>
      </c>
      <c r="K6" s="404">
        <v>1.5</v>
      </c>
      <c r="L6" s="382">
        <v>1</v>
      </c>
      <c r="M6" s="22"/>
      <c r="N6" s="100" t="s">
        <v>482</v>
      </c>
      <c r="O6" s="382">
        <v>2</v>
      </c>
      <c r="T6" s="100" t="s">
        <v>482</v>
      </c>
      <c r="U6" s="489" t="s">
        <v>1037</v>
      </c>
      <c r="V6" s="438">
        <v>1</v>
      </c>
      <c r="W6" s="438">
        <v>2</v>
      </c>
      <c r="X6" s="438">
        <v>4</v>
      </c>
      <c r="Y6" s="438">
        <v>6</v>
      </c>
      <c r="AA6" s="79" t="s">
        <v>1133</v>
      </c>
      <c r="AB6" s="404">
        <v>0.5</v>
      </c>
      <c r="AC6" s="102"/>
      <c r="AD6" s="265" t="s">
        <v>1134</v>
      </c>
      <c r="AE6" s="404">
        <v>0.84</v>
      </c>
      <c r="AG6" s="79" t="s">
        <v>1135</v>
      </c>
      <c r="AH6" s="382" t="s">
        <v>1027</v>
      </c>
      <c r="AI6" s="404">
        <v>1.1499999999999999</v>
      </c>
      <c r="AK6" s="74" t="s">
        <v>1034</v>
      </c>
      <c r="AL6" s="371" t="s">
        <v>1035</v>
      </c>
      <c r="AM6" s="442">
        <v>1</v>
      </c>
      <c r="AO6" s="100" t="s">
        <v>1136</v>
      </c>
      <c r="AP6" s="404">
        <v>0.75</v>
      </c>
      <c r="AS6" s="215" t="s">
        <v>70</v>
      </c>
      <c r="AT6" s="404">
        <v>4</v>
      </c>
      <c r="AU6" s="386" t="s">
        <v>1137</v>
      </c>
      <c r="AY6" s="67" t="s">
        <v>199</v>
      </c>
      <c r="AZ6" s="243" t="s">
        <v>1111</v>
      </c>
      <c r="BB6" s="154" t="s">
        <v>482</v>
      </c>
      <c r="BC6" s="246"/>
    </row>
    <row r="7" spans="1:55" ht="28.2" thickBot="1" x14ac:dyDescent="0.3">
      <c r="B7" s="68" t="s">
        <v>199</v>
      </c>
      <c r="C7" s="404" t="s">
        <v>70</v>
      </c>
      <c r="D7" s="404">
        <v>4</v>
      </c>
      <c r="E7" s="404" t="s">
        <v>216</v>
      </c>
      <c r="F7" s="404" t="s">
        <v>70</v>
      </c>
      <c r="G7" s="382" t="s">
        <v>240</v>
      </c>
      <c r="H7" s="404">
        <v>3</v>
      </c>
      <c r="I7" s="404">
        <v>2.5</v>
      </c>
      <c r="J7" s="404">
        <v>2</v>
      </c>
      <c r="K7" s="404">
        <v>1.5</v>
      </c>
      <c r="L7" s="382">
        <v>1</v>
      </c>
      <c r="M7" s="22"/>
      <c r="N7" s="100" t="s">
        <v>328</v>
      </c>
      <c r="O7" s="382">
        <v>1</v>
      </c>
      <c r="T7" s="100" t="s">
        <v>67</v>
      </c>
      <c r="U7" s="489" t="s">
        <v>1037</v>
      </c>
      <c r="V7" s="438" t="s">
        <v>1037</v>
      </c>
      <c r="W7" s="438">
        <v>1</v>
      </c>
      <c r="X7" s="438">
        <v>2</v>
      </c>
      <c r="Y7" s="438">
        <v>4</v>
      </c>
      <c r="AA7" s="79" t="s">
        <v>1138</v>
      </c>
      <c r="AB7" s="404">
        <v>1</v>
      </c>
      <c r="AC7" s="102"/>
      <c r="AD7" s="265" t="s">
        <v>1139</v>
      </c>
      <c r="AE7" s="404">
        <v>0.87</v>
      </c>
      <c r="AG7" s="79" t="s">
        <v>1140</v>
      </c>
      <c r="AH7" s="382" t="s">
        <v>1027</v>
      </c>
      <c r="AI7" s="404">
        <v>1.1499999999999999</v>
      </c>
      <c r="AK7" s="36"/>
      <c r="AL7" s="38"/>
      <c r="AM7" s="36"/>
      <c r="AO7" s="100" t="s">
        <v>1141</v>
      </c>
      <c r="AP7" s="404">
        <v>0.5</v>
      </c>
      <c r="AS7" s="211" t="s">
        <v>216</v>
      </c>
      <c r="AT7" s="388">
        <v>2</v>
      </c>
      <c r="AU7" s="442" t="s">
        <v>1142</v>
      </c>
      <c r="AY7" s="69" t="s">
        <v>200</v>
      </c>
      <c r="AZ7" s="243" t="s">
        <v>1112</v>
      </c>
      <c r="BB7" s="156" t="s">
        <v>328</v>
      </c>
      <c r="BC7" s="247"/>
    </row>
    <row r="8" spans="1:55" ht="55.2" x14ac:dyDescent="0.25">
      <c r="B8" s="85" t="s">
        <v>200</v>
      </c>
      <c r="C8" s="404" t="s">
        <v>216</v>
      </c>
      <c r="D8" s="404">
        <v>2</v>
      </c>
      <c r="E8" s="404" t="s">
        <v>216</v>
      </c>
      <c r="F8" s="404" t="s">
        <v>70</v>
      </c>
      <c r="G8" s="382" t="s">
        <v>247</v>
      </c>
      <c r="H8" s="404" t="s">
        <v>1048</v>
      </c>
      <c r="I8" s="404" t="s">
        <v>1048</v>
      </c>
      <c r="J8" s="404" t="s">
        <v>1048</v>
      </c>
      <c r="K8" s="404" t="s">
        <v>1048</v>
      </c>
      <c r="L8" s="382">
        <v>1</v>
      </c>
      <c r="M8" s="22"/>
      <c r="T8" s="100" t="s">
        <v>472</v>
      </c>
      <c r="U8" s="489" t="s">
        <v>1037</v>
      </c>
      <c r="V8" s="438" t="s">
        <v>1037</v>
      </c>
      <c r="W8" s="438" t="s">
        <v>1037</v>
      </c>
      <c r="X8" s="438">
        <v>1</v>
      </c>
      <c r="Y8" s="438">
        <v>2</v>
      </c>
      <c r="AC8" s="102"/>
      <c r="AD8" s="265" t="s">
        <v>1143</v>
      </c>
      <c r="AE8" s="404">
        <v>0.85</v>
      </c>
      <c r="AG8" s="79" t="s">
        <v>1144</v>
      </c>
      <c r="AH8" s="382" t="s">
        <v>1027</v>
      </c>
      <c r="AI8" s="404">
        <v>1.1499999999999999</v>
      </c>
      <c r="AK8" s="36"/>
      <c r="AL8" s="38"/>
      <c r="AM8" s="36"/>
    </row>
    <row r="9" spans="1:55" ht="27.6" x14ac:dyDescent="0.25">
      <c r="T9" s="100" t="s">
        <v>68</v>
      </c>
      <c r="U9" s="489" t="s">
        <v>1037</v>
      </c>
      <c r="V9" s="438" t="s">
        <v>1037</v>
      </c>
      <c r="W9" s="438" t="s">
        <v>1037</v>
      </c>
      <c r="X9" s="438" t="s">
        <v>1037</v>
      </c>
      <c r="Y9" s="438">
        <v>1</v>
      </c>
      <c r="AD9" s="265" t="s">
        <v>1145</v>
      </c>
      <c r="AE9" s="404">
        <v>0.9</v>
      </c>
      <c r="AG9" s="79" t="s">
        <v>1146</v>
      </c>
      <c r="AH9" s="382" t="s">
        <v>1027</v>
      </c>
      <c r="AI9" s="404">
        <v>1.1499999999999999</v>
      </c>
      <c r="AK9" s="36"/>
      <c r="AL9" s="38"/>
      <c r="AM9" s="36"/>
      <c r="AY9" s="35"/>
      <c r="AZ9" s="35"/>
      <c r="BA9" s="35"/>
      <c r="BB9" s="35"/>
      <c r="BC9" s="35"/>
    </row>
    <row r="10" spans="1:55" ht="27.6" x14ac:dyDescent="0.25">
      <c r="AD10" s="265" t="s">
        <v>1147</v>
      </c>
      <c r="AE10" s="404">
        <v>0.92</v>
      </c>
      <c r="AF10" s="102"/>
      <c r="AY10" s="35"/>
      <c r="AZ10" s="35"/>
      <c r="BA10" s="35"/>
      <c r="BB10" s="38"/>
      <c r="BC10" s="38"/>
    </row>
    <row r="11" spans="1:55" x14ac:dyDescent="0.25">
      <c r="AD11" s="265" t="s">
        <v>1148</v>
      </c>
      <c r="AE11" s="404">
        <v>0.95</v>
      </c>
      <c r="AF11" s="102"/>
      <c r="AY11" s="35"/>
      <c r="AZ11" s="35"/>
      <c r="BA11" s="35"/>
      <c r="BB11" s="38"/>
      <c r="BC11" s="35"/>
    </row>
    <row r="12" spans="1:55" ht="27.6" x14ac:dyDescent="0.25">
      <c r="B12" s="41"/>
      <c r="C12" s="66"/>
      <c r="D12" s="66"/>
      <c r="E12" s="66"/>
      <c r="F12" s="66"/>
      <c r="G12" s="39"/>
      <c r="AD12" s="265" t="s">
        <v>1149</v>
      </c>
      <c r="AE12" s="404">
        <v>0.98</v>
      </c>
      <c r="AF12" s="102"/>
      <c r="AY12" s="35"/>
      <c r="AZ12" s="35"/>
      <c r="BA12" s="35"/>
      <c r="BB12" s="38"/>
      <c r="BC12" s="35"/>
    </row>
    <row r="13" spans="1:55" ht="41.4" x14ac:dyDescent="0.25">
      <c r="B13" s="35"/>
      <c r="C13" s="36"/>
      <c r="D13" s="38"/>
      <c r="E13" s="36"/>
      <c r="F13" s="36"/>
      <c r="G13" s="38"/>
      <c r="AD13" s="265" t="s">
        <v>1150</v>
      </c>
      <c r="AE13" s="404">
        <v>1</v>
      </c>
      <c r="AF13" s="102"/>
      <c r="AG13" s="102"/>
      <c r="AH13" s="102"/>
      <c r="AY13" s="35"/>
      <c r="AZ13" s="35"/>
      <c r="BA13" s="35"/>
      <c r="BB13" s="38"/>
      <c r="BC13" s="35"/>
    </row>
    <row r="14" spans="1:55" x14ac:dyDescent="0.25">
      <c r="B14" s="35"/>
      <c r="C14" s="36"/>
      <c r="D14" s="38"/>
      <c r="E14" s="36"/>
      <c r="F14" s="36"/>
      <c r="G14" s="38"/>
      <c r="AD14" s="272" t="s">
        <v>1138</v>
      </c>
      <c r="AE14" s="404">
        <v>1</v>
      </c>
      <c r="AF14" s="102"/>
      <c r="AY14" s="35"/>
      <c r="AZ14" s="35"/>
      <c r="BA14" s="35"/>
      <c r="BB14" s="38"/>
      <c r="BC14" s="35"/>
    </row>
    <row r="15" spans="1:55" x14ac:dyDescent="0.25">
      <c r="B15" s="35"/>
      <c r="C15" s="36"/>
      <c r="D15" s="38"/>
      <c r="E15" s="36"/>
      <c r="F15" s="36"/>
      <c r="G15" s="38"/>
    </row>
    <row r="16" spans="1:55" x14ac:dyDescent="0.25">
      <c r="B16" s="35"/>
      <c r="C16" s="36"/>
      <c r="D16" s="38"/>
      <c r="E16" s="36"/>
      <c r="F16" s="36"/>
      <c r="G16" s="38"/>
    </row>
    <row r="17" spans="2:7" x14ac:dyDescent="0.25">
      <c r="B17" s="617"/>
      <c r="C17" s="36"/>
      <c r="D17" s="36"/>
      <c r="E17" s="36"/>
      <c r="F17" s="36"/>
      <c r="G17" s="38"/>
    </row>
    <row r="18" spans="2:7" x14ac:dyDescent="0.25"/>
    <row r="19" spans="2:7" x14ac:dyDescent="0.25"/>
    <row r="20" spans="2:7" x14ac:dyDescent="0.25"/>
    <row r="21" spans="2:7" x14ac:dyDescent="0.25"/>
    <row r="22" spans="2:7" x14ac:dyDescent="0.25"/>
    <row r="23" spans="2:7" x14ac:dyDescent="0.25"/>
    <row r="24" spans="2:7" x14ac:dyDescent="0.25"/>
    <row r="25" spans="2:7" x14ac:dyDescent="0.25"/>
    <row r="26" spans="2:7" x14ac:dyDescent="0.25"/>
    <row r="27" spans="2:7" x14ac:dyDescent="0.25"/>
    <row r="28" spans="2:7" x14ac:dyDescent="0.25"/>
    <row r="29" spans="2:7" x14ac:dyDescent="0.25"/>
    <row r="30" spans="2:7" x14ac:dyDescent="0.25"/>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25"/>
  <cols>
    <col min="1" max="1" width="88.77734375" style="30" bestFit="1" customWidth="1"/>
    <col min="2" max="2" width="12.77734375" style="30" bestFit="1" customWidth="1"/>
    <col min="3" max="3" width="17.21875" style="30" bestFit="1" customWidth="1"/>
    <col min="4" max="4" width="15.21875" style="30" bestFit="1" customWidth="1"/>
    <col min="5" max="5" width="16.21875" style="30" bestFit="1" customWidth="1"/>
    <col min="6" max="6" width="12.77734375" style="30" bestFit="1" customWidth="1"/>
    <col min="7" max="7" width="22" style="30" bestFit="1" customWidth="1"/>
    <col min="8" max="8" width="16.77734375" style="30" customWidth="1"/>
    <col min="9" max="9" width="21.44140625" style="30" hidden="1" customWidth="1"/>
    <col min="10" max="10" width="21.77734375" style="30" hidden="1" customWidth="1"/>
    <col min="11" max="11" width="19.44140625" style="30" hidden="1" customWidth="1"/>
    <col min="12" max="12" width="21.21875" style="30" hidden="1" customWidth="1"/>
    <col min="13" max="13" width="31.21875" style="30" hidden="1" customWidth="1"/>
    <col min="14" max="14" width="40.21875" style="30" hidden="1" customWidth="1"/>
    <col min="15" max="15" width="15.21875" style="30" customWidth="1"/>
    <col min="16" max="17" width="9.21875" style="30" customWidth="1"/>
    <col min="18" max="16384" width="9.21875" style="30" hidden="1"/>
  </cols>
  <sheetData>
    <row r="1" spans="1:14" ht="28.95" customHeight="1" x14ac:dyDescent="0.5">
      <c r="A1" s="1679"/>
      <c r="B1" s="227"/>
      <c r="C1" s="227"/>
      <c r="D1" s="227"/>
      <c r="E1" s="227"/>
      <c r="F1" s="227"/>
      <c r="G1" s="227"/>
      <c r="H1" s="249"/>
    </row>
    <row r="2" spans="1:14" ht="29.55" customHeight="1" x14ac:dyDescent="0.5">
      <c r="A2" s="1680"/>
      <c r="B2" s="1677" t="s">
        <v>357</v>
      </c>
      <c r="C2" s="1677"/>
      <c r="D2" s="1677"/>
      <c r="E2" s="1677"/>
      <c r="F2" s="1677"/>
      <c r="G2" s="1677"/>
      <c r="H2" s="1678"/>
    </row>
    <row r="3" spans="1:14" ht="27.6" x14ac:dyDescent="0.4">
      <c r="A3" s="229" t="s">
        <v>933</v>
      </c>
      <c r="B3" s="79" t="s">
        <v>68</v>
      </c>
      <c r="C3" s="79" t="s">
        <v>472</v>
      </c>
      <c r="D3" s="79" t="s">
        <v>67</v>
      </c>
      <c r="E3" s="79" t="s">
        <v>482</v>
      </c>
      <c r="F3" s="100" t="s">
        <v>328</v>
      </c>
      <c r="G3" s="100" t="s">
        <v>492</v>
      </c>
      <c r="H3" s="79" t="s">
        <v>496</v>
      </c>
      <c r="I3" s="30" t="s">
        <v>280</v>
      </c>
      <c r="J3" s="1681" t="s">
        <v>1151</v>
      </c>
      <c r="K3" s="1682"/>
      <c r="L3" s="1682"/>
      <c r="M3" s="1683"/>
    </row>
    <row r="4" spans="1:14" ht="13.8" x14ac:dyDescent="0.25">
      <c r="A4" s="68" t="str">
        <f>'G-1 All Habitats'!B3</f>
        <v>Cropland - Arable field margins cultivated annually</v>
      </c>
      <c r="B4" s="404" t="s">
        <v>1048</v>
      </c>
      <c r="C4" s="404" t="s">
        <v>1048</v>
      </c>
      <c r="D4" s="404" t="s">
        <v>1048</v>
      </c>
      <c r="E4" s="404" t="s">
        <v>1048</v>
      </c>
      <c r="F4" s="404" t="s">
        <v>1048</v>
      </c>
      <c r="G4" s="404">
        <v>1</v>
      </c>
      <c r="H4" s="404" t="s">
        <v>1048</v>
      </c>
      <c r="I4" s="30" t="str">
        <f>IF(G4=1,"Cond1",IF(H4=0,"Cond2",IF(AND(B4=3,C4=2.5,D4=2,E4=1.5,F4=1),"Cond4",IF(F4=1,"Cond3","Check"))))</f>
        <v>Cond1</v>
      </c>
      <c r="J4" s="248" t="s">
        <v>1152</v>
      </c>
      <c r="K4" s="248" t="s">
        <v>1153</v>
      </c>
      <c r="L4" s="248" t="s">
        <v>1154</v>
      </c>
      <c r="M4" s="248" t="s">
        <v>1155</v>
      </c>
      <c r="N4" s="30" t="s">
        <v>1156</v>
      </c>
    </row>
    <row r="5" spans="1:14" ht="13.8" x14ac:dyDescent="0.25">
      <c r="A5" s="68" t="str">
        <f>'G-1 All Habitats'!B4</f>
        <v>Cropland - Arable field margins game bird mix</v>
      </c>
      <c r="B5" s="404" t="s">
        <v>1048</v>
      </c>
      <c r="C5" s="404" t="s">
        <v>1048</v>
      </c>
      <c r="D5" s="404" t="s">
        <v>1048</v>
      </c>
      <c r="E5" s="404" t="s">
        <v>1048</v>
      </c>
      <c r="F5" s="404" t="s">
        <v>1048</v>
      </c>
      <c r="G5" s="404">
        <v>1</v>
      </c>
      <c r="H5" s="404" t="s">
        <v>1048</v>
      </c>
      <c r="I5" s="30" t="str">
        <f>IF(G5=1,"Cond1",IF(H5=0,"Cond2",IF(AND(B5=3,C5=2.5,D5=2,E5=1.5,F5=1),"Cond4",IF(F5=1,"Cond3","Check"))))</f>
        <v>Cond1</v>
      </c>
      <c r="J5" s="177" t="s">
        <v>492</v>
      </c>
      <c r="K5" s="177" t="s">
        <v>496</v>
      </c>
      <c r="L5" s="224" t="s">
        <v>328</v>
      </c>
      <c r="M5" s="177" t="s">
        <v>68</v>
      </c>
      <c r="N5" s="30" t="s">
        <v>68</v>
      </c>
    </row>
    <row r="6" spans="1:14" ht="13.8" x14ac:dyDescent="0.25">
      <c r="A6" s="68" t="str">
        <f>'G-1 All Habitats'!B5</f>
        <v>Cropland - Arable field margins pollen and nectar</v>
      </c>
      <c r="B6" s="404" t="s">
        <v>1048</v>
      </c>
      <c r="C6" s="404" t="s">
        <v>1048</v>
      </c>
      <c r="D6" s="404" t="s">
        <v>1048</v>
      </c>
      <c r="E6" s="404" t="s">
        <v>1048</v>
      </c>
      <c r="F6" s="404" t="s">
        <v>1048</v>
      </c>
      <c r="G6" s="404">
        <v>1</v>
      </c>
      <c r="H6" s="404" t="s">
        <v>1048</v>
      </c>
      <c r="I6" s="30" t="str">
        <f>IF(G6=1,"Cond1",IF(H6=0,"Cond2",IF(AND(B6=3,C6=2.5,D6=2,E6=1.5,F6=1),"Cond4",IF(F6=1,"Cond3","Check"))))</f>
        <v>Cond1</v>
      </c>
      <c r="M6" s="177" t="s">
        <v>472</v>
      </c>
    </row>
    <row r="7" spans="1:14" ht="13.8" x14ac:dyDescent="0.25">
      <c r="A7" s="68" t="str">
        <f>'G-1 All Habitats'!B6</f>
        <v>Cropland - Arable field margins tussocky</v>
      </c>
      <c r="B7" s="404" t="s">
        <v>1048</v>
      </c>
      <c r="C7" s="404" t="s">
        <v>1048</v>
      </c>
      <c r="D7" s="404" t="s">
        <v>1048</v>
      </c>
      <c r="E7" s="404" t="s">
        <v>1048</v>
      </c>
      <c r="F7" s="404" t="s">
        <v>1048</v>
      </c>
      <c r="G7" s="404">
        <v>1</v>
      </c>
      <c r="H7" s="404" t="s">
        <v>1048</v>
      </c>
      <c r="I7" s="30" t="str">
        <f>IF(G7=1,"Cond1",IF(H7=0,"Cond2",IF(AND(B7=3,C7=2.5,D7=2,E7=1.5,F7=1),"Cond4",IF(F7=1,"Cond3","Check"))))</f>
        <v>Cond1</v>
      </c>
      <c r="M7" s="177" t="s">
        <v>67</v>
      </c>
    </row>
    <row r="8" spans="1:14" ht="13.8" x14ac:dyDescent="0.25">
      <c r="A8" s="68" t="str">
        <f>'G-1 All Habitats'!B7</f>
        <v>Cropland - Cereal crops</v>
      </c>
      <c r="B8" s="404" t="s">
        <v>1048</v>
      </c>
      <c r="C8" s="404" t="s">
        <v>1048</v>
      </c>
      <c r="D8" s="404" t="s">
        <v>1048</v>
      </c>
      <c r="E8" s="404" t="s">
        <v>1048</v>
      </c>
      <c r="F8" s="404" t="s">
        <v>1048</v>
      </c>
      <c r="G8" s="404">
        <v>1</v>
      </c>
      <c r="H8" s="404" t="s">
        <v>1048</v>
      </c>
      <c r="I8" s="30" t="str">
        <f>IF(G8=1,"Cond1",IF(H8=0,"Cond2",IF(AND(B8=3,C8=2.5,D8=2,E8=1.5,F8=1),"Cond4",IF(F8=1,"Cond3","Check"))))</f>
        <v>Cond1</v>
      </c>
      <c r="M8" s="177" t="s">
        <v>482</v>
      </c>
    </row>
    <row r="9" spans="1:14" ht="13.8" x14ac:dyDescent="0.25">
      <c r="A9" s="68" t="str">
        <f>'G-1 All Habitats'!B8</f>
        <v>Cropland - Winter stubble</v>
      </c>
      <c r="B9" s="404" t="s">
        <v>1048</v>
      </c>
      <c r="C9" s="404" t="s">
        <v>1048</v>
      </c>
      <c r="D9" s="404" t="s">
        <v>1048</v>
      </c>
      <c r="E9" s="404" t="s">
        <v>1048</v>
      </c>
      <c r="F9" s="404" t="s">
        <v>1048</v>
      </c>
      <c r="G9" s="404">
        <v>1</v>
      </c>
      <c r="H9" s="404" t="s">
        <v>1048</v>
      </c>
      <c r="I9" s="30" t="str">
        <f t="shared" ref="I9:I41" si="0">IF(G9=1,"Cond1",IF(H9=0,"Cond2",IF(AND(B9=3,C9=2.5,D9=2,E9=1.5,F9=1),"Cond4",IF(F9=1,"Cond3","Check"))))</f>
        <v>Cond1</v>
      </c>
      <c r="M9" s="224" t="s">
        <v>328</v>
      </c>
    </row>
    <row r="10" spans="1:14" ht="13.8" x14ac:dyDescent="0.25">
      <c r="A10" s="68" t="str">
        <f>'G-1 All Habitats'!B9</f>
        <v>Cropland - Horticulture</v>
      </c>
      <c r="B10" s="404" t="s">
        <v>1048</v>
      </c>
      <c r="C10" s="404" t="s">
        <v>1048</v>
      </c>
      <c r="D10" s="404" t="s">
        <v>1048</v>
      </c>
      <c r="E10" s="404" t="s">
        <v>1048</v>
      </c>
      <c r="F10" s="404" t="s">
        <v>1048</v>
      </c>
      <c r="G10" s="404">
        <v>1</v>
      </c>
      <c r="H10" s="404" t="s">
        <v>1048</v>
      </c>
      <c r="I10" s="30" t="str">
        <f t="shared" si="0"/>
        <v>Cond1</v>
      </c>
    </row>
    <row r="11" spans="1:14" ht="13.8" x14ac:dyDescent="0.25">
      <c r="A11" s="68" t="str">
        <f>'G-1 All Habitats'!B10</f>
        <v>Cropland - Intensive orchards</v>
      </c>
      <c r="B11" s="404" t="s">
        <v>1048</v>
      </c>
      <c r="C11" s="404" t="s">
        <v>1048</v>
      </c>
      <c r="D11" s="404" t="s">
        <v>1048</v>
      </c>
      <c r="E11" s="404" t="s">
        <v>1048</v>
      </c>
      <c r="F11" s="404" t="s">
        <v>1048</v>
      </c>
      <c r="G11" s="404">
        <v>1</v>
      </c>
      <c r="H11" s="404" t="s">
        <v>1048</v>
      </c>
      <c r="I11" s="30" t="str">
        <f t="shared" si="0"/>
        <v>Cond1</v>
      </c>
    </row>
    <row r="12" spans="1:14" ht="13.8" x14ac:dyDescent="0.25">
      <c r="A12" s="68" t="str">
        <f>'G-1 All Habitats'!B11</f>
        <v>Cropland - Non-cereal crops</v>
      </c>
      <c r="B12" s="404" t="s">
        <v>1048</v>
      </c>
      <c r="C12" s="404" t="s">
        <v>1048</v>
      </c>
      <c r="D12" s="404" t="s">
        <v>1048</v>
      </c>
      <c r="E12" s="404" t="s">
        <v>1048</v>
      </c>
      <c r="F12" s="404" t="s">
        <v>1048</v>
      </c>
      <c r="G12" s="404">
        <v>1</v>
      </c>
      <c r="H12" s="404" t="s">
        <v>1048</v>
      </c>
      <c r="I12" s="30" t="str">
        <f t="shared" si="0"/>
        <v>Cond1</v>
      </c>
    </row>
    <row r="13" spans="1:14" ht="13.8" x14ac:dyDescent="0.25">
      <c r="A13" s="68" t="str">
        <f>'G-1 All Habitats'!B12</f>
        <v>Cropland - Temporary grass and clover leys</v>
      </c>
      <c r="B13" s="404" t="s">
        <v>1048</v>
      </c>
      <c r="C13" s="404" t="s">
        <v>1048</v>
      </c>
      <c r="D13" s="404" t="s">
        <v>1048</v>
      </c>
      <c r="E13" s="404" t="s">
        <v>1048</v>
      </c>
      <c r="F13" s="404" t="s">
        <v>1048</v>
      </c>
      <c r="G13" s="404">
        <v>1</v>
      </c>
      <c r="H13" s="404" t="s">
        <v>1048</v>
      </c>
      <c r="I13" s="30" t="str">
        <f t="shared" si="0"/>
        <v>Cond1</v>
      </c>
    </row>
    <row r="14" spans="1:14" ht="13.8" x14ac:dyDescent="0.25">
      <c r="A14" s="68" t="str">
        <f>'G-1 All Habitats'!B13</f>
        <v>Grassland - Traditional orchards</v>
      </c>
      <c r="B14" s="404">
        <v>3</v>
      </c>
      <c r="C14" s="404">
        <v>2.5</v>
      </c>
      <c r="D14" s="404">
        <v>2</v>
      </c>
      <c r="E14" s="404">
        <v>1.5</v>
      </c>
      <c r="F14" s="404">
        <v>1</v>
      </c>
      <c r="G14" s="404" t="s">
        <v>1048</v>
      </c>
      <c r="H14" s="404" t="s">
        <v>1048</v>
      </c>
      <c r="I14" s="30" t="str">
        <f t="shared" si="0"/>
        <v>Cond4</v>
      </c>
    </row>
    <row r="15" spans="1:14" ht="13.8" x14ac:dyDescent="0.25">
      <c r="A15" s="68" t="str">
        <f>'G-1 All Habitats'!B14</f>
        <v>Grassland - Bracken</v>
      </c>
      <c r="B15" s="404" t="s">
        <v>1048</v>
      </c>
      <c r="C15" s="404" t="s">
        <v>1048</v>
      </c>
      <c r="D15" s="404" t="s">
        <v>1048</v>
      </c>
      <c r="E15" s="404" t="s">
        <v>1048</v>
      </c>
      <c r="F15" s="404" t="s">
        <v>1048</v>
      </c>
      <c r="G15" s="404">
        <v>1</v>
      </c>
      <c r="H15" s="404" t="s">
        <v>1048</v>
      </c>
      <c r="I15" s="30" t="str">
        <f t="shared" si="0"/>
        <v>Cond1</v>
      </c>
    </row>
    <row r="16" spans="1:14" ht="13.8" x14ac:dyDescent="0.25">
      <c r="A16" s="68" t="str">
        <f>'G-1 All Habitats'!B15</f>
        <v>Grassland - Floodplain wetland mosaic and CFGM</v>
      </c>
      <c r="B16" s="404">
        <v>3</v>
      </c>
      <c r="C16" s="404">
        <v>2.5</v>
      </c>
      <c r="D16" s="404">
        <v>2</v>
      </c>
      <c r="E16" s="404">
        <v>1.5</v>
      </c>
      <c r="F16" s="404">
        <v>1</v>
      </c>
      <c r="G16" s="404" t="s">
        <v>1048</v>
      </c>
      <c r="H16" s="404" t="s">
        <v>1048</v>
      </c>
      <c r="I16" s="30" t="str">
        <f t="shared" si="0"/>
        <v>Cond4</v>
      </c>
    </row>
    <row r="17" spans="1:9" ht="13.8" x14ac:dyDescent="0.25">
      <c r="A17" s="68" t="str">
        <f>'G-1 All Habitats'!B16</f>
        <v>Grassland - Lowland calcareous grassland</v>
      </c>
      <c r="B17" s="404">
        <v>3</v>
      </c>
      <c r="C17" s="404">
        <v>2.5</v>
      </c>
      <c r="D17" s="404">
        <v>2</v>
      </c>
      <c r="E17" s="404">
        <v>1.5</v>
      </c>
      <c r="F17" s="404">
        <v>1</v>
      </c>
      <c r="G17" s="404" t="s">
        <v>1048</v>
      </c>
      <c r="H17" s="404" t="s">
        <v>1048</v>
      </c>
      <c r="I17" s="30" t="str">
        <f t="shared" si="0"/>
        <v>Cond4</v>
      </c>
    </row>
    <row r="18" spans="1:9" ht="13.8" x14ac:dyDescent="0.25">
      <c r="A18" s="68" t="str">
        <f>'G-1 All Habitats'!B17</f>
        <v>Grassland - Lowland dry acid grassland</v>
      </c>
      <c r="B18" s="404">
        <v>3</v>
      </c>
      <c r="C18" s="404">
        <v>2.5</v>
      </c>
      <c r="D18" s="404">
        <v>2</v>
      </c>
      <c r="E18" s="404">
        <v>1.5</v>
      </c>
      <c r="F18" s="404">
        <v>1</v>
      </c>
      <c r="G18" s="404" t="s">
        <v>1048</v>
      </c>
      <c r="H18" s="404" t="s">
        <v>1048</v>
      </c>
      <c r="I18" s="30" t="str">
        <f t="shared" si="0"/>
        <v>Cond4</v>
      </c>
    </row>
    <row r="19" spans="1:9" ht="13.8" x14ac:dyDescent="0.25">
      <c r="A19" s="68" t="str">
        <f>'G-1 All Habitats'!B18</f>
        <v>Grassland - Lowland meadows</v>
      </c>
      <c r="B19" s="404">
        <v>3</v>
      </c>
      <c r="C19" s="404">
        <v>2.5</v>
      </c>
      <c r="D19" s="404">
        <v>2</v>
      </c>
      <c r="E19" s="404">
        <v>1.5</v>
      </c>
      <c r="F19" s="404">
        <v>1</v>
      </c>
      <c r="G19" s="404" t="s">
        <v>1048</v>
      </c>
      <c r="H19" s="404" t="s">
        <v>1048</v>
      </c>
      <c r="I19" s="30" t="str">
        <f t="shared" si="0"/>
        <v>Cond4</v>
      </c>
    </row>
    <row r="20" spans="1:9" ht="13.8" x14ac:dyDescent="0.25">
      <c r="A20" s="68" t="str">
        <f>'G-1 All Habitats'!B19</f>
        <v>Grassland - Modified grassland</v>
      </c>
      <c r="B20" s="404">
        <v>3</v>
      </c>
      <c r="C20" s="404">
        <v>2.5</v>
      </c>
      <c r="D20" s="404">
        <v>2</v>
      </c>
      <c r="E20" s="404">
        <v>1.5</v>
      </c>
      <c r="F20" s="404">
        <v>1</v>
      </c>
      <c r="G20" s="404" t="s">
        <v>1048</v>
      </c>
      <c r="H20" s="404" t="s">
        <v>1048</v>
      </c>
      <c r="I20" s="30" t="str">
        <f t="shared" si="0"/>
        <v>Cond4</v>
      </c>
    </row>
    <row r="21" spans="1:9" ht="15" customHeight="1" x14ac:dyDescent="0.25">
      <c r="A21" s="68" t="str">
        <f>'G-1 All Habitats'!B20</f>
        <v>Grassland - Other lowland acid grassland</v>
      </c>
      <c r="B21" s="404">
        <v>3</v>
      </c>
      <c r="C21" s="404">
        <v>2.5</v>
      </c>
      <c r="D21" s="404">
        <v>2</v>
      </c>
      <c r="E21" s="404">
        <v>1.5</v>
      </c>
      <c r="F21" s="404">
        <v>1</v>
      </c>
      <c r="G21" s="404" t="s">
        <v>1048</v>
      </c>
      <c r="H21" s="404" t="s">
        <v>1048</v>
      </c>
      <c r="I21" s="30" t="str">
        <f t="shared" si="0"/>
        <v>Cond4</v>
      </c>
    </row>
    <row r="22" spans="1:9" ht="15" customHeight="1" x14ac:dyDescent="0.25">
      <c r="A22" s="68" t="str">
        <f>'G-1 All Habitats'!B21</f>
        <v>Grassland - Other neutral grassland</v>
      </c>
      <c r="B22" s="404">
        <v>3</v>
      </c>
      <c r="C22" s="404">
        <v>2.5</v>
      </c>
      <c r="D22" s="404">
        <v>2</v>
      </c>
      <c r="E22" s="404">
        <v>1.5</v>
      </c>
      <c r="F22" s="404">
        <v>1</v>
      </c>
      <c r="G22" s="404" t="s">
        <v>1048</v>
      </c>
      <c r="H22" s="404" t="s">
        <v>1048</v>
      </c>
      <c r="I22" s="30" t="str">
        <f t="shared" si="0"/>
        <v>Cond4</v>
      </c>
    </row>
    <row r="23" spans="1:9" ht="15" customHeight="1" x14ac:dyDescent="0.25">
      <c r="A23" s="68" t="str">
        <f>'G-1 All Habitats'!B22</f>
        <v>Grassland - Tall herb communities (H6430)</v>
      </c>
      <c r="B23" s="404">
        <v>3</v>
      </c>
      <c r="C23" s="404">
        <v>2.5</v>
      </c>
      <c r="D23" s="404">
        <v>2</v>
      </c>
      <c r="E23" s="404">
        <v>1.5</v>
      </c>
      <c r="F23" s="404">
        <v>1</v>
      </c>
      <c r="G23" s="404" t="s">
        <v>1048</v>
      </c>
      <c r="H23" s="404" t="s">
        <v>1048</v>
      </c>
      <c r="I23" s="30" t="str">
        <f t="shared" si="0"/>
        <v>Cond4</v>
      </c>
    </row>
    <row r="24" spans="1:9" ht="15" customHeight="1" x14ac:dyDescent="0.25">
      <c r="A24" s="68" t="str">
        <f>'G-1 All Habitats'!B23</f>
        <v>Grassland - Upland acid grassland</v>
      </c>
      <c r="B24" s="404">
        <v>3</v>
      </c>
      <c r="C24" s="404">
        <v>2.5</v>
      </c>
      <c r="D24" s="404">
        <v>2</v>
      </c>
      <c r="E24" s="404">
        <v>1.5</v>
      </c>
      <c r="F24" s="404">
        <v>1</v>
      </c>
      <c r="G24" s="404" t="s">
        <v>1048</v>
      </c>
      <c r="H24" s="404" t="s">
        <v>1048</v>
      </c>
      <c r="I24" s="30" t="str">
        <f t="shared" si="0"/>
        <v>Cond4</v>
      </c>
    </row>
    <row r="25" spans="1:9" ht="15" customHeight="1" x14ac:dyDescent="0.25">
      <c r="A25" s="68" t="str">
        <f>'G-1 All Habitats'!B24</f>
        <v>Grassland - Upland calcareous grassland</v>
      </c>
      <c r="B25" s="404">
        <v>3</v>
      </c>
      <c r="C25" s="404">
        <v>2.5</v>
      </c>
      <c r="D25" s="404">
        <v>2</v>
      </c>
      <c r="E25" s="404">
        <v>1.5</v>
      </c>
      <c r="F25" s="404">
        <v>1</v>
      </c>
      <c r="G25" s="404" t="s">
        <v>1048</v>
      </c>
      <c r="H25" s="404" t="s">
        <v>1048</v>
      </c>
      <c r="I25" s="30" t="str">
        <f t="shared" si="0"/>
        <v>Cond4</v>
      </c>
    </row>
    <row r="26" spans="1:9" ht="15" customHeight="1" x14ac:dyDescent="0.25">
      <c r="A26" s="68" t="str">
        <f>'G-1 All Habitats'!B25</f>
        <v>Grassland - Upland hay meadows</v>
      </c>
      <c r="B26" s="404">
        <v>3</v>
      </c>
      <c r="C26" s="404">
        <v>2.5</v>
      </c>
      <c r="D26" s="404">
        <v>2</v>
      </c>
      <c r="E26" s="404">
        <v>1.5</v>
      </c>
      <c r="F26" s="404">
        <v>1</v>
      </c>
      <c r="G26" s="404" t="s">
        <v>1048</v>
      </c>
      <c r="H26" s="404" t="s">
        <v>1048</v>
      </c>
      <c r="I26" s="30" t="str">
        <f t="shared" si="0"/>
        <v>Cond4</v>
      </c>
    </row>
    <row r="27" spans="1:9" ht="13.8" x14ac:dyDescent="0.25">
      <c r="A27" s="68" t="str">
        <f>'G-1 All Habitats'!B26</f>
        <v>Heathland and shrub - Blackthorn scrub</v>
      </c>
      <c r="B27" s="404">
        <v>3</v>
      </c>
      <c r="C27" s="404">
        <v>2.5</v>
      </c>
      <c r="D27" s="404">
        <v>2</v>
      </c>
      <c r="E27" s="404">
        <v>1.5</v>
      </c>
      <c r="F27" s="404">
        <v>1</v>
      </c>
      <c r="G27" s="404" t="s">
        <v>1048</v>
      </c>
      <c r="H27" s="404" t="s">
        <v>1048</v>
      </c>
      <c r="I27" s="30" t="str">
        <f t="shared" si="0"/>
        <v>Cond4</v>
      </c>
    </row>
    <row r="28" spans="1:9" ht="13.8" x14ac:dyDescent="0.25">
      <c r="A28" s="68" t="str">
        <f>'G-1 All Habitats'!B27</f>
        <v>Heathland and shrub - Bramble scrub</v>
      </c>
      <c r="B28" s="404" t="s">
        <v>1048</v>
      </c>
      <c r="C28" s="404" t="s">
        <v>1048</v>
      </c>
      <c r="D28" s="404" t="s">
        <v>1048</v>
      </c>
      <c r="E28" s="404">
        <v>1.5</v>
      </c>
      <c r="F28" s="404" t="s">
        <v>1048</v>
      </c>
      <c r="G28" s="404">
        <v>1</v>
      </c>
      <c r="H28" s="404" t="s">
        <v>1048</v>
      </c>
      <c r="I28" s="30" t="str">
        <f t="shared" si="0"/>
        <v>Cond1</v>
      </c>
    </row>
    <row r="29" spans="1:9" ht="13.8" x14ac:dyDescent="0.25">
      <c r="A29" s="68" t="str">
        <f>'G-1 All Habitats'!B28</f>
        <v>Heathland and shrub - Gorse scrub</v>
      </c>
      <c r="B29" s="404">
        <v>3</v>
      </c>
      <c r="C29" s="404">
        <v>2.5</v>
      </c>
      <c r="D29" s="404">
        <v>2</v>
      </c>
      <c r="E29" s="404">
        <v>1.5</v>
      </c>
      <c r="F29" s="404">
        <v>1</v>
      </c>
      <c r="G29" s="404" t="s">
        <v>1048</v>
      </c>
      <c r="H29" s="404" t="s">
        <v>1048</v>
      </c>
      <c r="I29" s="30" t="str">
        <f t="shared" si="0"/>
        <v>Cond4</v>
      </c>
    </row>
    <row r="30" spans="1:9" ht="13.8" x14ac:dyDescent="0.25">
      <c r="A30" s="68" t="str">
        <f>'G-1 All Habitats'!B29</f>
        <v>Heathland and shrub - Hawthorn scrub</v>
      </c>
      <c r="B30" s="404">
        <v>3</v>
      </c>
      <c r="C30" s="404">
        <v>2.5</v>
      </c>
      <c r="D30" s="404">
        <v>2</v>
      </c>
      <c r="E30" s="404">
        <v>1.5</v>
      </c>
      <c r="F30" s="404">
        <v>1</v>
      </c>
      <c r="G30" s="404" t="s">
        <v>1048</v>
      </c>
      <c r="H30" s="404" t="s">
        <v>1048</v>
      </c>
      <c r="I30" s="30" t="str">
        <f t="shared" si="0"/>
        <v>Cond4</v>
      </c>
    </row>
    <row r="31" spans="1:9" ht="13.8" x14ac:dyDescent="0.25">
      <c r="A31" s="68" t="str">
        <f>'G-1 All Habitats'!B30</f>
        <v>Heathland and shrub - Hazel scrub</v>
      </c>
      <c r="B31" s="404">
        <v>3</v>
      </c>
      <c r="C31" s="404">
        <v>2.5</v>
      </c>
      <c r="D31" s="404">
        <v>2</v>
      </c>
      <c r="E31" s="404">
        <v>1.5</v>
      </c>
      <c r="F31" s="404">
        <v>1</v>
      </c>
      <c r="G31" s="404" t="s">
        <v>1048</v>
      </c>
      <c r="H31" s="404" t="s">
        <v>1048</v>
      </c>
      <c r="I31" s="30" t="str">
        <f t="shared" si="0"/>
        <v>Cond4</v>
      </c>
    </row>
    <row r="32" spans="1:9" ht="13.8" x14ac:dyDescent="0.25">
      <c r="A32" s="68" t="str">
        <f>'G-1 All Habitats'!B31</f>
        <v>Heathland and shrub - Lowland heathland</v>
      </c>
      <c r="B32" s="404">
        <v>3</v>
      </c>
      <c r="C32" s="404">
        <v>2.5</v>
      </c>
      <c r="D32" s="404">
        <v>2</v>
      </c>
      <c r="E32" s="404">
        <v>1.5</v>
      </c>
      <c r="F32" s="404">
        <v>1</v>
      </c>
      <c r="G32" s="404" t="s">
        <v>1048</v>
      </c>
      <c r="H32" s="404" t="s">
        <v>1048</v>
      </c>
      <c r="I32" s="30" t="str">
        <f t="shared" si="0"/>
        <v>Cond4</v>
      </c>
    </row>
    <row r="33" spans="1:9" ht="13.8" x14ac:dyDescent="0.25">
      <c r="A33" s="68" t="str">
        <f>'G-1 All Habitats'!B32</f>
        <v>Heathland and shrub - Mixed scrub</v>
      </c>
      <c r="B33" s="404">
        <v>3</v>
      </c>
      <c r="C33" s="404">
        <v>2.5</v>
      </c>
      <c r="D33" s="404">
        <v>2</v>
      </c>
      <c r="E33" s="404">
        <v>1.5</v>
      </c>
      <c r="F33" s="404">
        <v>1</v>
      </c>
      <c r="G33" s="404" t="s">
        <v>1048</v>
      </c>
      <c r="H33" s="404" t="s">
        <v>1048</v>
      </c>
      <c r="I33" s="30" t="str">
        <f t="shared" si="0"/>
        <v>Cond4</v>
      </c>
    </row>
    <row r="34" spans="1:9" ht="13.8" x14ac:dyDescent="0.25">
      <c r="A34" s="68" t="str">
        <f>'G-1 All Habitats'!B33</f>
        <v>Heathland and shrub - Mountain heaths and willow scrub</v>
      </c>
      <c r="B34" s="404">
        <v>3</v>
      </c>
      <c r="C34" s="404">
        <v>2.5</v>
      </c>
      <c r="D34" s="404">
        <v>2</v>
      </c>
      <c r="E34" s="404">
        <v>1.5</v>
      </c>
      <c r="F34" s="404">
        <v>1</v>
      </c>
      <c r="G34" s="404" t="s">
        <v>1048</v>
      </c>
      <c r="H34" s="404" t="s">
        <v>1048</v>
      </c>
      <c r="I34" s="30" t="str">
        <f t="shared" si="0"/>
        <v>Cond4</v>
      </c>
    </row>
    <row r="35" spans="1:9" ht="13.8" x14ac:dyDescent="0.25">
      <c r="A35" s="68" t="str">
        <f>'G-1 All Habitats'!B34</f>
        <v>Heathland and shrub - Rhododendron scrub</v>
      </c>
      <c r="B35" s="404" t="s">
        <v>1048</v>
      </c>
      <c r="C35" s="404" t="s">
        <v>1048</v>
      </c>
      <c r="D35" s="404" t="s">
        <v>1048</v>
      </c>
      <c r="E35" s="404" t="s">
        <v>1048</v>
      </c>
      <c r="F35" s="404" t="s">
        <v>1048</v>
      </c>
      <c r="G35" s="404">
        <v>1</v>
      </c>
      <c r="H35" s="404" t="s">
        <v>1048</v>
      </c>
      <c r="I35" s="30" t="str">
        <f t="shared" si="0"/>
        <v>Cond1</v>
      </c>
    </row>
    <row r="36" spans="1:9" ht="13.8" x14ac:dyDescent="0.25">
      <c r="A36" s="68" t="str">
        <f>'G-1 All Habitats'!B35</f>
        <v>Heathland and shrub - Dunes with sea buckthorn (H2160)</v>
      </c>
      <c r="B36" s="404">
        <v>3</v>
      </c>
      <c r="C36" s="404">
        <v>2.5</v>
      </c>
      <c r="D36" s="404">
        <v>2</v>
      </c>
      <c r="E36" s="404">
        <v>1.5</v>
      </c>
      <c r="F36" s="404">
        <v>1</v>
      </c>
      <c r="G36" s="404" t="s">
        <v>1048</v>
      </c>
      <c r="H36" s="404" t="s">
        <v>1048</v>
      </c>
      <c r="I36" s="30" t="str">
        <f t="shared" si="0"/>
        <v>Cond4</v>
      </c>
    </row>
    <row r="37" spans="1:9" ht="13.8" x14ac:dyDescent="0.25">
      <c r="A37" s="68" t="str">
        <f>'G-1 All Habitats'!B36</f>
        <v>Heathland and shrub - Other sea buckthorn scrub</v>
      </c>
      <c r="B37" s="404" t="s">
        <v>1048</v>
      </c>
      <c r="C37" s="404" t="s">
        <v>1048</v>
      </c>
      <c r="D37" s="404" t="s">
        <v>1048</v>
      </c>
      <c r="E37" s="404" t="s">
        <v>1048</v>
      </c>
      <c r="F37" s="404" t="s">
        <v>1048</v>
      </c>
      <c r="G37" s="404">
        <v>1</v>
      </c>
      <c r="H37" s="404" t="s">
        <v>1048</v>
      </c>
      <c r="I37" s="30" t="str">
        <f t="shared" si="0"/>
        <v>Cond1</v>
      </c>
    </row>
    <row r="38" spans="1:9" ht="13.8" x14ac:dyDescent="0.25">
      <c r="A38" s="68" t="s">
        <v>606</v>
      </c>
      <c r="B38" s="404">
        <v>3</v>
      </c>
      <c r="C38" s="404">
        <v>2.5</v>
      </c>
      <c r="D38" s="404">
        <v>2</v>
      </c>
      <c r="E38" s="404">
        <v>1.5</v>
      </c>
      <c r="F38" s="404">
        <v>1</v>
      </c>
      <c r="G38" s="404" t="s">
        <v>1048</v>
      </c>
      <c r="H38" s="404" t="s">
        <v>1048</v>
      </c>
      <c r="I38" s="30" t="str">
        <f t="shared" si="0"/>
        <v>Cond4</v>
      </c>
    </row>
    <row r="39" spans="1:9" ht="13.8" x14ac:dyDescent="0.25">
      <c r="A39" s="68" t="str">
        <f>'G-1 All Habitats'!B38</f>
        <v>Heathland and shrub - Upland heathland</v>
      </c>
      <c r="B39" s="404">
        <v>3</v>
      </c>
      <c r="C39" s="404">
        <v>2.5</v>
      </c>
      <c r="D39" s="404">
        <v>2</v>
      </c>
      <c r="E39" s="404">
        <v>1.5</v>
      </c>
      <c r="F39" s="404">
        <v>1</v>
      </c>
      <c r="G39" s="404" t="s">
        <v>1048</v>
      </c>
      <c r="H39" s="404" t="s">
        <v>1048</v>
      </c>
      <c r="I39" s="30" t="str">
        <f t="shared" si="0"/>
        <v>Cond4</v>
      </c>
    </row>
    <row r="40" spans="1:9" ht="13.8" x14ac:dyDescent="0.25">
      <c r="A40" s="68" t="str">
        <f>'G-1 All Habitats'!B39</f>
        <v>Lakes - Aquifer fed naturally fluctuating water bodies</v>
      </c>
      <c r="B40" s="404">
        <v>3</v>
      </c>
      <c r="C40" s="404">
        <v>2.5</v>
      </c>
      <c r="D40" s="404">
        <v>2</v>
      </c>
      <c r="E40" s="404">
        <v>1.5</v>
      </c>
      <c r="F40" s="404">
        <v>1</v>
      </c>
      <c r="G40" s="404" t="s">
        <v>1048</v>
      </c>
      <c r="H40" s="404" t="s">
        <v>1048</v>
      </c>
      <c r="I40" s="30" t="str">
        <f t="shared" si="0"/>
        <v>Cond4</v>
      </c>
    </row>
    <row r="41" spans="1:9" ht="13.8" x14ac:dyDescent="0.25">
      <c r="A41" s="68" t="str">
        <f>'G-1 All Habitats'!B41</f>
        <v>Lakes - High alkalinity lakes</v>
      </c>
      <c r="B41" s="404">
        <v>3</v>
      </c>
      <c r="C41" s="404">
        <v>2.5</v>
      </c>
      <c r="D41" s="404">
        <v>2</v>
      </c>
      <c r="E41" s="404">
        <v>1.5</v>
      </c>
      <c r="F41" s="404">
        <v>1</v>
      </c>
      <c r="G41" s="404" t="s">
        <v>1048</v>
      </c>
      <c r="H41" s="404" t="s">
        <v>1048</v>
      </c>
      <c r="I41" s="30" t="str">
        <f t="shared" si="0"/>
        <v>Cond4</v>
      </c>
    </row>
    <row r="42" spans="1:9" ht="13.8" x14ac:dyDescent="0.25">
      <c r="A42" s="68" t="str">
        <f>'G-1 All Habitats'!B42</f>
        <v>Lakes - Low alkalinity lakes</v>
      </c>
      <c r="B42" s="404">
        <v>3</v>
      </c>
      <c r="C42" s="404">
        <v>2.5</v>
      </c>
      <c r="D42" s="404">
        <v>2</v>
      </c>
      <c r="E42" s="404">
        <v>1.5</v>
      </c>
      <c r="F42" s="404">
        <v>1</v>
      </c>
      <c r="G42" s="404" t="s">
        <v>1048</v>
      </c>
      <c r="H42" s="404" t="s">
        <v>1048</v>
      </c>
      <c r="I42" s="30" t="str">
        <f t="shared" ref="I42:I74" si="1">IF(G42=1,"Cond1",IF(H42=0,"Cond2",IF(AND(B42=3,C42=2.5,D42=2,E42=1.5,F42=1),"Cond4",IF(F42=1,"Cond3","Check"))))</f>
        <v>Cond4</v>
      </c>
    </row>
    <row r="43" spans="1:9" ht="13.8" x14ac:dyDescent="0.25">
      <c r="A43" s="68" t="str">
        <f>'G-1 All Habitats'!B43</f>
        <v>Lakes - Marl lakes</v>
      </c>
      <c r="B43" s="404">
        <v>3</v>
      </c>
      <c r="C43" s="404">
        <v>2.5</v>
      </c>
      <c r="D43" s="404">
        <v>2</v>
      </c>
      <c r="E43" s="404">
        <v>1.5</v>
      </c>
      <c r="F43" s="404">
        <v>1</v>
      </c>
      <c r="G43" s="404" t="s">
        <v>1048</v>
      </c>
      <c r="H43" s="404" t="s">
        <v>1048</v>
      </c>
      <c r="I43" s="30" t="str">
        <f t="shared" si="1"/>
        <v>Cond4</v>
      </c>
    </row>
    <row r="44" spans="1:9" ht="13.8" x14ac:dyDescent="0.25">
      <c r="A44" s="68" t="str">
        <f>'G-1 All Habitats'!B44</f>
        <v>Lakes - Moderate alkalinity lakes</v>
      </c>
      <c r="B44" s="404">
        <v>3</v>
      </c>
      <c r="C44" s="404">
        <v>2.5</v>
      </c>
      <c r="D44" s="404">
        <v>2</v>
      </c>
      <c r="E44" s="404">
        <v>1.5</v>
      </c>
      <c r="F44" s="404">
        <v>1</v>
      </c>
      <c r="G44" s="404" t="s">
        <v>1048</v>
      </c>
      <c r="H44" s="404" t="s">
        <v>1048</v>
      </c>
      <c r="I44" s="30" t="str">
        <f t="shared" si="1"/>
        <v>Cond4</v>
      </c>
    </row>
    <row r="45" spans="1:9" ht="13.8" x14ac:dyDescent="0.25">
      <c r="A45" s="68" t="str">
        <f>'G-1 All Habitats'!B45</f>
        <v>Lakes - Peat lakes</v>
      </c>
      <c r="B45" s="404">
        <v>3</v>
      </c>
      <c r="C45" s="404">
        <v>2.5</v>
      </c>
      <c r="D45" s="404">
        <v>2</v>
      </c>
      <c r="E45" s="404">
        <v>1.5</v>
      </c>
      <c r="F45" s="404">
        <v>1</v>
      </c>
      <c r="G45" s="404" t="s">
        <v>1048</v>
      </c>
      <c r="H45" s="404" t="s">
        <v>1048</v>
      </c>
      <c r="I45" s="30" t="str">
        <f t="shared" si="1"/>
        <v>Cond4</v>
      </c>
    </row>
    <row r="46" spans="1:9" ht="13.8" x14ac:dyDescent="0.25">
      <c r="A46" s="68" t="str">
        <f>'G-1 All Habitats'!B46</f>
        <v>Lakes - Ponds (priority habitat)</v>
      </c>
      <c r="B46" s="404">
        <v>3</v>
      </c>
      <c r="C46" s="404">
        <v>2.5</v>
      </c>
      <c r="D46" s="404">
        <v>2</v>
      </c>
      <c r="E46" s="404">
        <v>1.5</v>
      </c>
      <c r="F46" s="404">
        <v>1</v>
      </c>
      <c r="G46" s="404" t="s">
        <v>1048</v>
      </c>
      <c r="H46" s="404" t="s">
        <v>1048</v>
      </c>
      <c r="I46" s="30" t="str">
        <f t="shared" si="1"/>
        <v>Cond4</v>
      </c>
    </row>
    <row r="47" spans="1:9" ht="13.8" x14ac:dyDescent="0.25">
      <c r="A47" s="68" t="str">
        <f>'G-1 All Habitats'!B47</f>
        <v>Lakes - Ponds (non-priority habitat)</v>
      </c>
      <c r="B47" s="404">
        <v>3</v>
      </c>
      <c r="C47" s="404">
        <v>2.5</v>
      </c>
      <c r="D47" s="404">
        <v>2</v>
      </c>
      <c r="E47" s="404">
        <v>1.5</v>
      </c>
      <c r="F47" s="404">
        <v>1</v>
      </c>
      <c r="G47" s="404" t="s">
        <v>1048</v>
      </c>
      <c r="H47" s="404" t="s">
        <v>1048</v>
      </c>
      <c r="I47" s="30" t="str">
        <f t="shared" si="1"/>
        <v>Cond4</v>
      </c>
    </row>
    <row r="48" spans="1:9" ht="13.8" x14ac:dyDescent="0.25">
      <c r="A48" s="68" t="str">
        <f>'G-1 All Habitats'!B48</f>
        <v>Lakes - Reservoirs</v>
      </c>
      <c r="B48" s="404">
        <v>3</v>
      </c>
      <c r="C48" s="404">
        <v>2.5</v>
      </c>
      <c r="D48" s="404">
        <v>2</v>
      </c>
      <c r="E48" s="404">
        <v>1.5</v>
      </c>
      <c r="F48" s="404">
        <v>1</v>
      </c>
      <c r="G48" s="404" t="s">
        <v>1048</v>
      </c>
      <c r="H48" s="404" t="s">
        <v>1048</v>
      </c>
      <c r="I48" s="30" t="str">
        <f t="shared" si="1"/>
        <v>Cond4</v>
      </c>
    </row>
    <row r="49" spans="1:9" ht="13.8" x14ac:dyDescent="0.25">
      <c r="A49" s="68" t="str">
        <f>'G-1 All Habitats'!B49</f>
        <v>Lakes - Temporary lakes ponds and pools (H3170)</v>
      </c>
      <c r="B49" s="404">
        <v>3</v>
      </c>
      <c r="C49" s="404">
        <v>2.5</v>
      </c>
      <c r="D49" s="404">
        <v>2</v>
      </c>
      <c r="E49" s="404">
        <v>1.5</v>
      </c>
      <c r="F49" s="404">
        <v>1</v>
      </c>
      <c r="G49" s="404" t="s">
        <v>1048</v>
      </c>
      <c r="H49" s="404" t="s">
        <v>1048</v>
      </c>
      <c r="I49" s="30" t="str">
        <f t="shared" si="1"/>
        <v>Cond4</v>
      </c>
    </row>
    <row r="50" spans="1:9" ht="13.8" x14ac:dyDescent="0.25">
      <c r="A50" s="68" t="str">
        <f>'G-1 All Habitats'!B50</f>
        <v>Sparsely vegetated land - Calaminarian grasslands</v>
      </c>
      <c r="B50" s="404">
        <v>3</v>
      </c>
      <c r="C50" s="404">
        <v>2.5</v>
      </c>
      <c r="D50" s="404">
        <v>2</v>
      </c>
      <c r="E50" s="404">
        <v>1.5</v>
      </c>
      <c r="F50" s="404">
        <v>1</v>
      </c>
      <c r="G50" s="404" t="s">
        <v>1048</v>
      </c>
      <c r="H50" s="404" t="s">
        <v>1048</v>
      </c>
      <c r="I50" s="30" t="str">
        <f t="shared" si="1"/>
        <v>Cond4</v>
      </c>
    </row>
    <row r="51" spans="1:9" ht="13.8" x14ac:dyDescent="0.25">
      <c r="A51" s="68" t="str">
        <f>'G-1 All Habitats'!B51</f>
        <v>Sparsely vegetated land - Coastal sand dunes</v>
      </c>
      <c r="B51" s="404">
        <v>3</v>
      </c>
      <c r="C51" s="404">
        <v>2.5</v>
      </c>
      <c r="D51" s="404">
        <v>2</v>
      </c>
      <c r="E51" s="404">
        <v>1.5</v>
      </c>
      <c r="F51" s="404">
        <v>1</v>
      </c>
      <c r="G51" s="404" t="s">
        <v>1048</v>
      </c>
      <c r="H51" s="404" t="s">
        <v>1048</v>
      </c>
      <c r="I51" s="30" t="str">
        <f t="shared" si="1"/>
        <v>Cond4</v>
      </c>
    </row>
    <row r="52" spans="1:9" ht="13.8" x14ac:dyDescent="0.25">
      <c r="A52" s="68" t="str">
        <f>'G-1 All Habitats'!B52</f>
        <v>Sparsely vegetated land - Coastal vegetated shingle</v>
      </c>
      <c r="B52" s="404">
        <v>3</v>
      </c>
      <c r="C52" s="404">
        <v>2.5</v>
      </c>
      <c r="D52" s="404">
        <v>2</v>
      </c>
      <c r="E52" s="404">
        <v>1.5</v>
      </c>
      <c r="F52" s="404">
        <v>1</v>
      </c>
      <c r="G52" s="404" t="s">
        <v>1048</v>
      </c>
      <c r="H52" s="404" t="s">
        <v>1048</v>
      </c>
      <c r="I52" s="30" t="str">
        <f t="shared" si="1"/>
        <v>Cond4</v>
      </c>
    </row>
    <row r="53" spans="1:9" ht="13.8" x14ac:dyDescent="0.25">
      <c r="A53" s="68" t="str">
        <f>'G-1 All Habitats'!B53</f>
        <v>Sparsely vegetated land - Ruderal/Ephemeral</v>
      </c>
      <c r="B53" s="404">
        <v>3</v>
      </c>
      <c r="C53" s="404">
        <v>2.5</v>
      </c>
      <c r="D53" s="404">
        <v>2</v>
      </c>
      <c r="E53" s="404">
        <v>1.5</v>
      </c>
      <c r="F53" s="404">
        <v>1</v>
      </c>
      <c r="G53" s="404" t="s">
        <v>1048</v>
      </c>
      <c r="H53" s="404" t="s">
        <v>1048</v>
      </c>
      <c r="I53" s="30" t="str">
        <f t="shared" si="1"/>
        <v>Cond4</v>
      </c>
    </row>
    <row r="54" spans="1:9" ht="13.8" x14ac:dyDescent="0.25">
      <c r="A54" s="68" t="s">
        <v>664</v>
      </c>
      <c r="B54" s="404">
        <v>3</v>
      </c>
      <c r="C54" s="404">
        <v>2.5</v>
      </c>
      <c r="D54" s="404">
        <v>2</v>
      </c>
      <c r="E54" s="404">
        <v>1.5</v>
      </c>
      <c r="F54" s="404">
        <v>1</v>
      </c>
      <c r="G54" s="404" t="s">
        <v>1048</v>
      </c>
      <c r="H54" s="404" t="s">
        <v>1048</v>
      </c>
      <c r="I54" s="30" t="str">
        <f t="shared" si="1"/>
        <v>Cond4</v>
      </c>
    </row>
    <row r="55" spans="1:9" ht="13.8" x14ac:dyDescent="0.25">
      <c r="A55" s="68" t="str">
        <f>'G-1 All Habitats'!B55</f>
        <v>Sparsely vegetated land - Inland rock outcrop and scree habitats</v>
      </c>
      <c r="B55" s="404">
        <v>3</v>
      </c>
      <c r="C55" s="404">
        <v>2.5</v>
      </c>
      <c r="D55" s="404">
        <v>2</v>
      </c>
      <c r="E55" s="404">
        <v>1.5</v>
      </c>
      <c r="F55" s="404">
        <v>1</v>
      </c>
      <c r="G55" s="404" t="s">
        <v>1048</v>
      </c>
      <c r="H55" s="404" t="s">
        <v>1048</v>
      </c>
      <c r="I55" s="30" t="str">
        <f t="shared" si="1"/>
        <v>Cond4</v>
      </c>
    </row>
    <row r="56" spans="1:9" ht="13.8" x14ac:dyDescent="0.25">
      <c r="A56" s="68" t="str">
        <f>'G-1 All Habitats'!B56</f>
        <v>Sparsely vegetated land - Limestone pavement</v>
      </c>
      <c r="B56" s="404">
        <v>3</v>
      </c>
      <c r="C56" s="404">
        <v>2.5</v>
      </c>
      <c r="D56" s="404">
        <v>2</v>
      </c>
      <c r="E56" s="404">
        <v>1.5</v>
      </c>
      <c r="F56" s="404">
        <v>1</v>
      </c>
      <c r="G56" s="404" t="s">
        <v>1048</v>
      </c>
      <c r="H56" s="404" t="s">
        <v>1048</v>
      </c>
      <c r="I56" s="30" t="str">
        <f t="shared" si="1"/>
        <v>Cond4</v>
      </c>
    </row>
    <row r="57" spans="1:9" ht="13.8" x14ac:dyDescent="0.25">
      <c r="A57" s="68" t="str">
        <f>'G-1 All Habitats'!B57</f>
        <v>Sparsely vegetated land - Maritime cliff and slopes</v>
      </c>
      <c r="B57" s="404">
        <v>3</v>
      </c>
      <c r="C57" s="404">
        <v>2.5</v>
      </c>
      <c r="D57" s="404">
        <v>2</v>
      </c>
      <c r="E57" s="404">
        <v>1.5</v>
      </c>
      <c r="F57" s="404">
        <v>1</v>
      </c>
      <c r="G57" s="404" t="s">
        <v>1048</v>
      </c>
      <c r="H57" s="404" t="s">
        <v>1048</v>
      </c>
      <c r="I57" s="30" t="str">
        <f t="shared" si="1"/>
        <v>Cond4</v>
      </c>
    </row>
    <row r="58" spans="1:9" ht="13.8" x14ac:dyDescent="0.25">
      <c r="A58" s="68" t="str">
        <f>'G-1 All Habitats'!B58</f>
        <v>Sparsely vegetated land - Other inland rock and scree</v>
      </c>
      <c r="B58" s="404">
        <v>3</v>
      </c>
      <c r="C58" s="404">
        <v>2.5</v>
      </c>
      <c r="D58" s="404">
        <v>2</v>
      </c>
      <c r="E58" s="404">
        <v>1.5</v>
      </c>
      <c r="F58" s="404">
        <v>1</v>
      </c>
      <c r="G58" s="404" t="s">
        <v>1048</v>
      </c>
      <c r="H58" s="404" t="s">
        <v>1048</v>
      </c>
      <c r="I58" s="30" t="str">
        <f t="shared" si="1"/>
        <v>Cond4</v>
      </c>
    </row>
    <row r="59" spans="1:9" ht="13.8" x14ac:dyDescent="0.25">
      <c r="A59" s="68" t="str">
        <f>'G-1 All Habitats'!B59</f>
        <v>Urban - Allotments</v>
      </c>
      <c r="B59" s="404">
        <v>3</v>
      </c>
      <c r="C59" s="404">
        <v>2.5</v>
      </c>
      <c r="D59" s="404">
        <v>2</v>
      </c>
      <c r="E59" s="404">
        <v>1.5</v>
      </c>
      <c r="F59" s="404">
        <v>1</v>
      </c>
      <c r="G59" s="404" t="s">
        <v>1048</v>
      </c>
      <c r="H59" s="404" t="s">
        <v>1048</v>
      </c>
      <c r="I59" s="30" t="str">
        <f t="shared" si="1"/>
        <v>Cond4</v>
      </c>
    </row>
    <row r="60" spans="1:9" ht="13.8" x14ac:dyDescent="0.25">
      <c r="A60" s="68" t="str">
        <f>'G-1 All Habitats'!B40</f>
        <v>Lakes - Ornamental lake or pond</v>
      </c>
      <c r="B60" s="404">
        <v>3</v>
      </c>
      <c r="C60" s="404">
        <v>2.5</v>
      </c>
      <c r="D60" s="404">
        <v>2</v>
      </c>
      <c r="E60" s="404">
        <v>1.5</v>
      </c>
      <c r="F60" s="404">
        <v>1</v>
      </c>
      <c r="G60" s="404" t="s">
        <v>1048</v>
      </c>
      <c r="H60" s="404" t="s">
        <v>1048</v>
      </c>
      <c r="I60" s="30" t="str">
        <f t="shared" si="1"/>
        <v>Cond4</v>
      </c>
    </row>
    <row r="61" spans="1:9" ht="13.8" x14ac:dyDescent="0.25">
      <c r="A61" s="68" t="str">
        <f>'G-1 All Habitats'!B60</f>
        <v>Urban - Artificial unvegetated, unsealed surface</v>
      </c>
      <c r="B61" s="404" t="s">
        <v>1048</v>
      </c>
      <c r="C61" s="404" t="s">
        <v>1048</v>
      </c>
      <c r="D61" s="404" t="s">
        <v>1048</v>
      </c>
      <c r="E61" s="404" t="s">
        <v>1048</v>
      </c>
      <c r="F61" s="404" t="s">
        <v>1048</v>
      </c>
      <c r="G61" s="404" t="s">
        <v>1048</v>
      </c>
      <c r="H61" s="440">
        <v>0</v>
      </c>
      <c r="I61" s="30" t="str">
        <f t="shared" si="1"/>
        <v>Cond2</v>
      </c>
    </row>
    <row r="62" spans="1:9" ht="13.8" x14ac:dyDescent="0.25">
      <c r="A62" s="68" t="str">
        <f>'G-1 All Habitats'!B61</f>
        <v>Urban - Bioswale</v>
      </c>
      <c r="B62" s="404">
        <v>3</v>
      </c>
      <c r="C62" s="404">
        <v>2.5</v>
      </c>
      <c r="D62" s="404">
        <v>2</v>
      </c>
      <c r="E62" s="404">
        <v>1.5</v>
      </c>
      <c r="F62" s="404">
        <v>1</v>
      </c>
      <c r="G62" s="404" t="s">
        <v>1048</v>
      </c>
      <c r="H62" s="404" t="s">
        <v>1048</v>
      </c>
      <c r="I62" s="30" t="str">
        <f t="shared" si="1"/>
        <v>Cond4</v>
      </c>
    </row>
    <row r="63" spans="1:9" ht="13.8" x14ac:dyDescent="0.25">
      <c r="A63" s="68" t="str">
        <f>'G-1 All Habitats'!B62</f>
        <v>Urban - Intensive green roof</v>
      </c>
      <c r="B63" s="404">
        <v>3</v>
      </c>
      <c r="C63" s="404">
        <v>2.5</v>
      </c>
      <c r="D63" s="404">
        <v>2</v>
      </c>
      <c r="E63" s="404">
        <v>1.5</v>
      </c>
      <c r="F63" s="404">
        <v>1</v>
      </c>
      <c r="G63" s="404" t="s">
        <v>1048</v>
      </c>
      <c r="H63" s="404" t="s">
        <v>1048</v>
      </c>
      <c r="I63" s="30" t="str">
        <f t="shared" si="1"/>
        <v>Cond4</v>
      </c>
    </row>
    <row r="64" spans="1:9" ht="13.8" x14ac:dyDescent="0.25">
      <c r="A64" s="68" t="str">
        <f>'G-1 All Habitats'!B63</f>
        <v>Urban - Built linear features</v>
      </c>
      <c r="B64" s="404" t="s">
        <v>1048</v>
      </c>
      <c r="C64" s="404" t="s">
        <v>1048</v>
      </c>
      <c r="D64" s="404" t="s">
        <v>1048</v>
      </c>
      <c r="E64" s="404" t="s">
        <v>1048</v>
      </c>
      <c r="F64" s="404" t="s">
        <v>1048</v>
      </c>
      <c r="G64" s="404" t="s">
        <v>1048</v>
      </c>
      <c r="H64" s="440">
        <v>0</v>
      </c>
      <c r="I64" s="30" t="str">
        <f t="shared" si="1"/>
        <v>Cond2</v>
      </c>
    </row>
    <row r="65" spans="1:9" ht="13.8" x14ac:dyDescent="0.25">
      <c r="A65" s="68" t="str">
        <f>'G-1 All Habitats'!B64</f>
        <v>Urban - Cemeteries and churchyards</v>
      </c>
      <c r="B65" s="404">
        <v>3</v>
      </c>
      <c r="C65" s="404">
        <v>2.5</v>
      </c>
      <c r="D65" s="404">
        <v>2</v>
      </c>
      <c r="E65" s="404">
        <v>1.5</v>
      </c>
      <c r="F65" s="404">
        <v>1</v>
      </c>
      <c r="G65" s="404" t="s">
        <v>1048</v>
      </c>
      <c r="H65" s="404" t="s">
        <v>1048</v>
      </c>
      <c r="I65" s="30" t="str">
        <f t="shared" si="1"/>
        <v>Cond4</v>
      </c>
    </row>
    <row r="66" spans="1:9" ht="13.8" x14ac:dyDescent="0.25">
      <c r="A66" s="68" t="str">
        <f>'G-1 All Habitats'!B65</f>
        <v>Urban - Developed land; sealed surface</v>
      </c>
      <c r="B66" s="404" t="s">
        <v>1048</v>
      </c>
      <c r="C66" s="404" t="s">
        <v>1048</v>
      </c>
      <c r="D66" s="404" t="s">
        <v>1048</v>
      </c>
      <c r="E66" s="404" t="s">
        <v>1048</v>
      </c>
      <c r="F66" s="404" t="s">
        <v>1048</v>
      </c>
      <c r="G66" s="404" t="s">
        <v>1048</v>
      </c>
      <c r="H66" s="440">
        <v>0</v>
      </c>
      <c r="I66" s="30" t="str">
        <f t="shared" si="1"/>
        <v>Cond2</v>
      </c>
    </row>
    <row r="67" spans="1:9" ht="13.8" x14ac:dyDescent="0.25">
      <c r="A67" s="68" t="str">
        <f>'G-1 All Habitats'!B66</f>
        <v>Urban - Other green roof</v>
      </c>
      <c r="B67" s="404" t="s">
        <v>1048</v>
      </c>
      <c r="C67" s="404" t="s">
        <v>1048</v>
      </c>
      <c r="D67" s="404" t="s">
        <v>1048</v>
      </c>
      <c r="E67" s="404" t="s">
        <v>1048</v>
      </c>
      <c r="F67" s="404" t="s">
        <v>1048</v>
      </c>
      <c r="G67" s="404">
        <v>1</v>
      </c>
      <c r="H67" s="404" t="s">
        <v>1048</v>
      </c>
      <c r="I67" s="30" t="str">
        <f t="shared" si="1"/>
        <v>Cond1</v>
      </c>
    </row>
    <row r="68" spans="1:9" ht="13.8" x14ac:dyDescent="0.25">
      <c r="A68" s="68" t="str">
        <f>'G-1 All Habitats'!B67</f>
        <v>Urban - Facade-bound green wall</v>
      </c>
      <c r="B68" s="404">
        <v>3</v>
      </c>
      <c r="C68" s="404">
        <v>2.5</v>
      </c>
      <c r="D68" s="404">
        <v>2</v>
      </c>
      <c r="E68" s="404">
        <v>1.5</v>
      </c>
      <c r="F68" s="404">
        <v>1</v>
      </c>
      <c r="G68" s="404" t="s">
        <v>1048</v>
      </c>
      <c r="H68" s="404" t="s">
        <v>1048</v>
      </c>
      <c r="I68" s="30" t="str">
        <f t="shared" si="1"/>
        <v>Cond4</v>
      </c>
    </row>
    <row r="69" spans="1:9" ht="13.8" x14ac:dyDescent="0.25">
      <c r="A69" s="68" t="str">
        <f>'G-1 All Habitats'!B68</f>
        <v>Urban - Ground based green wall</v>
      </c>
      <c r="B69" s="404">
        <v>3</v>
      </c>
      <c r="C69" s="404">
        <v>2.5</v>
      </c>
      <c r="D69" s="404">
        <v>2</v>
      </c>
      <c r="E69" s="404">
        <v>1.5</v>
      </c>
      <c r="F69" s="404">
        <v>1</v>
      </c>
      <c r="G69" s="404" t="s">
        <v>1048</v>
      </c>
      <c r="H69" s="404" t="s">
        <v>1048</v>
      </c>
      <c r="I69" s="30" t="str">
        <f t="shared" si="1"/>
        <v>Cond4</v>
      </c>
    </row>
    <row r="70" spans="1:9" ht="13.8" x14ac:dyDescent="0.25">
      <c r="A70" s="68" t="str">
        <f>'G-1 All Habitats'!B69</f>
        <v>Urban - Ground level planters</v>
      </c>
      <c r="B70" s="404" t="s">
        <v>1048</v>
      </c>
      <c r="C70" s="404" t="s">
        <v>1048</v>
      </c>
      <c r="D70" s="404" t="s">
        <v>1048</v>
      </c>
      <c r="E70" s="404" t="s">
        <v>1048</v>
      </c>
      <c r="F70" s="404" t="s">
        <v>1048</v>
      </c>
      <c r="G70" s="404">
        <v>1</v>
      </c>
      <c r="H70" s="404" t="s">
        <v>1048</v>
      </c>
      <c r="I70" s="30" t="str">
        <f t="shared" si="1"/>
        <v>Cond1</v>
      </c>
    </row>
    <row r="71" spans="1:9" ht="13.8" x14ac:dyDescent="0.25">
      <c r="A71" s="68" t="str">
        <f>'G-1 All Habitats'!B70</f>
        <v>Urban - Biodiverse green roof</v>
      </c>
      <c r="B71" s="404">
        <v>3</v>
      </c>
      <c r="C71" s="404">
        <v>2.5</v>
      </c>
      <c r="D71" s="404">
        <v>2</v>
      </c>
      <c r="E71" s="404">
        <v>1.5</v>
      </c>
      <c r="F71" s="404">
        <v>1</v>
      </c>
      <c r="G71" s="404" t="s">
        <v>1048</v>
      </c>
      <c r="H71" s="404" t="s">
        <v>1048</v>
      </c>
      <c r="I71" s="30" t="str">
        <f t="shared" si="1"/>
        <v>Cond4</v>
      </c>
    </row>
    <row r="72" spans="1:9" ht="13.8" x14ac:dyDescent="0.25">
      <c r="A72" s="68" t="str">
        <f>'G-1 All Habitats'!B71</f>
        <v>Urban - Introduced shrub</v>
      </c>
      <c r="B72" s="404" t="s">
        <v>1048</v>
      </c>
      <c r="C72" s="404" t="s">
        <v>1048</v>
      </c>
      <c r="D72" s="404" t="s">
        <v>1048</v>
      </c>
      <c r="E72" s="404" t="s">
        <v>1048</v>
      </c>
      <c r="F72" s="404" t="s">
        <v>1048</v>
      </c>
      <c r="G72" s="404">
        <v>1</v>
      </c>
      <c r="H72" s="404" t="s">
        <v>1048</v>
      </c>
      <c r="I72" s="30" t="str">
        <f t="shared" si="1"/>
        <v>Cond1</v>
      </c>
    </row>
    <row r="73" spans="1:9" ht="13.8" x14ac:dyDescent="0.25">
      <c r="A73" s="68" t="str">
        <f>'G-1 All Habitats'!B72</f>
        <v>Urban - Open mosaic habitats on previously developed land</v>
      </c>
      <c r="B73" s="404">
        <v>3</v>
      </c>
      <c r="C73" s="404">
        <v>2.5</v>
      </c>
      <c r="D73" s="404">
        <v>2</v>
      </c>
      <c r="E73" s="404">
        <v>1.5</v>
      </c>
      <c r="F73" s="404">
        <v>1</v>
      </c>
      <c r="G73" s="404" t="s">
        <v>1048</v>
      </c>
      <c r="H73" s="404" t="s">
        <v>1048</v>
      </c>
      <c r="I73" s="30" t="str">
        <f t="shared" si="1"/>
        <v>Cond4</v>
      </c>
    </row>
    <row r="74" spans="1:9" ht="13.8" x14ac:dyDescent="0.25">
      <c r="A74" s="68" t="str">
        <f>'G-1 All Habitats'!B73</f>
        <v>Urban - Rain garden</v>
      </c>
      <c r="B74" s="404">
        <v>3</v>
      </c>
      <c r="C74" s="404">
        <v>2.5</v>
      </c>
      <c r="D74" s="404">
        <v>2</v>
      </c>
      <c r="E74" s="404">
        <v>1.5</v>
      </c>
      <c r="F74" s="404">
        <v>1</v>
      </c>
      <c r="G74" s="404" t="s">
        <v>1048</v>
      </c>
      <c r="H74" s="404" t="s">
        <v>1048</v>
      </c>
      <c r="I74" s="30" t="str">
        <f t="shared" si="1"/>
        <v>Cond4</v>
      </c>
    </row>
    <row r="75" spans="1:9" ht="13.8" x14ac:dyDescent="0.25">
      <c r="A75" s="68" t="str">
        <f>'G-1 All Habitats'!B74</f>
        <v>Urban - Actively worked sand pit quarry or open cast mine</v>
      </c>
      <c r="B75" s="404" t="s">
        <v>1048</v>
      </c>
      <c r="C75" s="404" t="s">
        <v>1048</v>
      </c>
      <c r="D75" s="404" t="s">
        <v>1048</v>
      </c>
      <c r="E75" s="404" t="s">
        <v>1048</v>
      </c>
      <c r="F75" s="404" t="s">
        <v>1048</v>
      </c>
      <c r="G75" s="404">
        <v>1</v>
      </c>
      <c r="H75" s="404" t="s">
        <v>1048</v>
      </c>
      <c r="I75" s="30" t="str">
        <f t="shared" ref="I75:I89" si="2">IF(G75=1,"Cond1",IF(H75=0,"Cond2",IF(AND(B75=3,C75=2.5,D75=2,E75=1.5,F75=1),"Cond4",IF(F75=1,"Cond3","Check"))))</f>
        <v>Cond1</v>
      </c>
    </row>
    <row r="76" spans="1:9" ht="13.8" x14ac:dyDescent="0.25">
      <c r="A76" s="68" t="str">
        <f>'G-1 All Habitats'!B80</f>
        <v>Individual trees - Urban tree</v>
      </c>
      <c r="B76" s="404">
        <v>3</v>
      </c>
      <c r="C76" s="404">
        <v>2.5</v>
      </c>
      <c r="D76" s="404">
        <v>2</v>
      </c>
      <c r="E76" s="404">
        <v>1.5</v>
      </c>
      <c r="F76" s="404">
        <v>1</v>
      </c>
      <c r="G76" s="404" t="s">
        <v>1048</v>
      </c>
      <c r="H76" s="404" t="s">
        <v>1048</v>
      </c>
      <c r="I76" s="30" t="str">
        <f t="shared" si="2"/>
        <v>Cond4</v>
      </c>
    </row>
    <row r="77" spans="1:9" ht="13.8" x14ac:dyDescent="0.25">
      <c r="A77" s="68" t="str">
        <f>'G-1 All Habitats'!B75</f>
        <v>Urban - Sustainable drainage system</v>
      </c>
      <c r="B77" s="404">
        <v>3</v>
      </c>
      <c r="C77" s="404">
        <v>2.5</v>
      </c>
      <c r="D77" s="404">
        <v>2</v>
      </c>
      <c r="E77" s="404">
        <v>1.5</v>
      </c>
      <c r="F77" s="404">
        <v>1</v>
      </c>
      <c r="G77" s="404" t="s">
        <v>1048</v>
      </c>
      <c r="H77" s="404" t="s">
        <v>1048</v>
      </c>
      <c r="I77" s="30" t="str">
        <f t="shared" si="2"/>
        <v>Cond4</v>
      </c>
    </row>
    <row r="78" spans="1:9" ht="13.8" x14ac:dyDescent="0.25">
      <c r="A78" s="68" t="str">
        <f>'G-1 All Habitats'!B76</f>
        <v>Urban - Unvegetated garden</v>
      </c>
      <c r="B78" s="404" t="s">
        <v>1048</v>
      </c>
      <c r="C78" s="404" t="s">
        <v>1048</v>
      </c>
      <c r="D78" s="404" t="s">
        <v>1048</v>
      </c>
      <c r="E78" s="404" t="s">
        <v>1048</v>
      </c>
      <c r="F78" s="404" t="s">
        <v>1048</v>
      </c>
      <c r="G78" s="404" t="s">
        <v>1048</v>
      </c>
      <c r="H78" s="440">
        <v>0</v>
      </c>
      <c r="I78" s="30" t="str">
        <f t="shared" si="2"/>
        <v>Cond2</v>
      </c>
    </row>
    <row r="79" spans="1:9" ht="13.8" x14ac:dyDescent="0.25">
      <c r="A79" s="68" t="str">
        <f>'G-1 All Habitats'!B77</f>
        <v>Urban - Vacant or derelict land</v>
      </c>
      <c r="B79" s="404">
        <v>3</v>
      </c>
      <c r="C79" s="404">
        <v>2.5</v>
      </c>
      <c r="D79" s="404">
        <v>2</v>
      </c>
      <c r="E79" s="404">
        <v>1.5</v>
      </c>
      <c r="F79" s="404">
        <v>1</v>
      </c>
      <c r="G79" s="404" t="s">
        <v>1048</v>
      </c>
      <c r="H79" s="404" t="s">
        <v>1048</v>
      </c>
      <c r="I79" s="30" t="str">
        <f t="shared" si="2"/>
        <v>Cond4</v>
      </c>
    </row>
    <row r="80" spans="1:9" ht="13.8" x14ac:dyDescent="0.25">
      <c r="A80" s="68" t="s">
        <v>735</v>
      </c>
      <c r="B80" s="404">
        <v>3</v>
      </c>
      <c r="C80" s="404">
        <v>2.5</v>
      </c>
      <c r="D80" s="404">
        <v>2</v>
      </c>
      <c r="E80" s="404">
        <v>1.5</v>
      </c>
      <c r="F80" s="404">
        <v>1</v>
      </c>
      <c r="G80" s="404" t="s">
        <v>1048</v>
      </c>
      <c r="H80" s="404" t="s">
        <v>1048</v>
      </c>
      <c r="I80" s="30" t="str">
        <f t="shared" si="2"/>
        <v>Cond4</v>
      </c>
    </row>
    <row r="81" spans="1:9" ht="13.8" x14ac:dyDescent="0.25">
      <c r="A81" s="68" t="str">
        <f>'G-1 All Habitats'!B79</f>
        <v>Urban - Vegetated garden</v>
      </c>
      <c r="B81" s="404" t="s">
        <v>1048</v>
      </c>
      <c r="C81" s="404" t="s">
        <v>1048</v>
      </c>
      <c r="D81" s="404" t="s">
        <v>1048</v>
      </c>
      <c r="E81" s="404" t="s">
        <v>1048</v>
      </c>
      <c r="F81" s="404" t="s">
        <v>1048</v>
      </c>
      <c r="G81" s="404">
        <v>1</v>
      </c>
      <c r="H81" s="404" t="s">
        <v>1048</v>
      </c>
      <c r="I81" s="30" t="str">
        <f t="shared" si="2"/>
        <v>Cond1</v>
      </c>
    </row>
    <row r="82" spans="1:9" ht="13.8" x14ac:dyDescent="0.25">
      <c r="A82" s="68" t="str">
        <f>'G-1 All Habitats'!B82</f>
        <v>Wetland - Blanket bog</v>
      </c>
      <c r="B82" s="404">
        <v>3</v>
      </c>
      <c r="C82" s="404">
        <v>2.5</v>
      </c>
      <c r="D82" s="404">
        <v>2</v>
      </c>
      <c r="E82" s="404">
        <v>1.5</v>
      </c>
      <c r="F82" s="404">
        <v>1</v>
      </c>
      <c r="G82" s="404" t="s">
        <v>1048</v>
      </c>
      <c r="H82" s="404" t="s">
        <v>1048</v>
      </c>
      <c r="I82" s="30" t="str">
        <f t="shared" si="2"/>
        <v>Cond4</v>
      </c>
    </row>
    <row r="83" spans="1:9" ht="13.8" x14ac:dyDescent="0.25">
      <c r="A83" s="68" t="str">
        <f>'G-1 All Habitats'!B83</f>
        <v>Wetland - Depressions on peat substrates (H7150)</v>
      </c>
      <c r="B83" s="404">
        <v>3</v>
      </c>
      <c r="C83" s="404">
        <v>2.5</v>
      </c>
      <c r="D83" s="404">
        <v>2</v>
      </c>
      <c r="E83" s="404">
        <v>1.5</v>
      </c>
      <c r="F83" s="404">
        <v>1</v>
      </c>
      <c r="G83" s="404" t="s">
        <v>1048</v>
      </c>
      <c r="H83" s="404" t="s">
        <v>1048</v>
      </c>
      <c r="I83" s="30" t="str">
        <f t="shared" si="2"/>
        <v>Cond4</v>
      </c>
    </row>
    <row r="84" spans="1:9" ht="13.8" x14ac:dyDescent="0.25">
      <c r="A84" s="68" t="str">
        <f>'G-1 All Habitats'!B84</f>
        <v>Wetland - Fens (upland and lowland)</v>
      </c>
      <c r="B84" s="404">
        <v>3</v>
      </c>
      <c r="C84" s="404">
        <v>2.5</v>
      </c>
      <c r="D84" s="404">
        <v>2</v>
      </c>
      <c r="E84" s="404">
        <v>1.5</v>
      </c>
      <c r="F84" s="404">
        <v>1</v>
      </c>
      <c r="G84" s="404" t="s">
        <v>1048</v>
      </c>
      <c r="H84" s="404" t="s">
        <v>1048</v>
      </c>
      <c r="I84" s="30" t="str">
        <f t="shared" si="2"/>
        <v>Cond4</v>
      </c>
    </row>
    <row r="85" spans="1:9" ht="13.8" x14ac:dyDescent="0.25">
      <c r="A85" s="68" t="str">
        <f>'G-1 All Habitats'!B85</f>
        <v>Wetland - Lowland raised bog</v>
      </c>
      <c r="B85" s="404">
        <v>3</v>
      </c>
      <c r="C85" s="404">
        <v>2.5</v>
      </c>
      <c r="D85" s="404">
        <v>2</v>
      </c>
      <c r="E85" s="404">
        <v>1.5</v>
      </c>
      <c r="F85" s="404">
        <v>1</v>
      </c>
      <c r="G85" s="404" t="s">
        <v>1048</v>
      </c>
      <c r="H85" s="404" t="s">
        <v>1048</v>
      </c>
      <c r="I85" s="30" t="str">
        <f t="shared" si="2"/>
        <v>Cond4</v>
      </c>
    </row>
    <row r="86" spans="1:9" ht="13.8" x14ac:dyDescent="0.25">
      <c r="A86" s="68" t="str">
        <f>'G-1 All Habitats'!B86</f>
        <v>Wetland - Oceanic valley mire[1] (D2.1)</v>
      </c>
      <c r="B86" s="404">
        <v>3</v>
      </c>
      <c r="C86" s="404">
        <v>2.5</v>
      </c>
      <c r="D86" s="404">
        <v>2</v>
      </c>
      <c r="E86" s="404">
        <v>1.5</v>
      </c>
      <c r="F86" s="404">
        <v>1</v>
      </c>
      <c r="G86" s="404" t="s">
        <v>1048</v>
      </c>
      <c r="H86" s="404" t="s">
        <v>1048</v>
      </c>
      <c r="I86" s="30" t="str">
        <f t="shared" si="2"/>
        <v>Cond4</v>
      </c>
    </row>
    <row r="87" spans="1:9" ht="13.8" x14ac:dyDescent="0.25">
      <c r="A87" s="68" t="str">
        <f>'G-1 All Habitats'!B87</f>
        <v>Wetland - Purple moor grass and rush pastures</v>
      </c>
      <c r="B87" s="404">
        <v>3</v>
      </c>
      <c r="C87" s="404">
        <v>2.5</v>
      </c>
      <c r="D87" s="404">
        <v>2</v>
      </c>
      <c r="E87" s="404">
        <v>1.5</v>
      </c>
      <c r="F87" s="404">
        <v>1</v>
      </c>
      <c r="G87" s="404" t="s">
        <v>1048</v>
      </c>
      <c r="H87" s="404" t="s">
        <v>1048</v>
      </c>
      <c r="I87" s="30" t="str">
        <f t="shared" si="2"/>
        <v>Cond4</v>
      </c>
    </row>
    <row r="88" spans="1:9" ht="13.8" x14ac:dyDescent="0.25">
      <c r="A88" s="68" t="str">
        <f>'G-1 All Habitats'!B88</f>
        <v>Wetland - Reedbeds</v>
      </c>
      <c r="B88" s="404">
        <v>3</v>
      </c>
      <c r="C88" s="404">
        <v>2.5</v>
      </c>
      <c r="D88" s="404">
        <v>2</v>
      </c>
      <c r="E88" s="404">
        <v>1.5</v>
      </c>
      <c r="F88" s="404">
        <v>1</v>
      </c>
      <c r="G88" s="404" t="s">
        <v>1048</v>
      </c>
      <c r="H88" s="404" t="s">
        <v>1048</v>
      </c>
      <c r="I88" s="30" t="str">
        <f t="shared" si="2"/>
        <v>Cond4</v>
      </c>
    </row>
    <row r="89" spans="1:9" ht="13.8" x14ac:dyDescent="0.25">
      <c r="A89" s="68" t="str">
        <f>'G-1 All Habitats'!B89</f>
        <v>Wetland - Transition mires and quaking bogs (H7140)</v>
      </c>
      <c r="B89" s="404">
        <v>3</v>
      </c>
      <c r="C89" s="404">
        <v>2.5</v>
      </c>
      <c r="D89" s="404">
        <v>2</v>
      </c>
      <c r="E89" s="404">
        <v>1.5</v>
      </c>
      <c r="F89" s="404">
        <v>1</v>
      </c>
      <c r="G89" s="404" t="s">
        <v>1048</v>
      </c>
      <c r="H89" s="404" t="s">
        <v>1048</v>
      </c>
      <c r="I89" s="30" t="str">
        <f t="shared" si="2"/>
        <v>Cond4</v>
      </c>
    </row>
    <row r="90" spans="1:9" ht="13.8" x14ac:dyDescent="0.25">
      <c r="A90" s="68" t="str">
        <f>'G-1 All Habitats'!B90</f>
        <v>Woodland and forest - Felled</v>
      </c>
      <c r="B90" s="404">
        <v>3</v>
      </c>
      <c r="C90" s="404" t="s">
        <v>1048</v>
      </c>
      <c r="D90" s="404" t="s">
        <v>1048</v>
      </c>
      <c r="E90" s="404" t="s">
        <v>1048</v>
      </c>
      <c r="F90" s="404" t="s">
        <v>1048</v>
      </c>
      <c r="G90" s="404" t="s">
        <v>1048</v>
      </c>
      <c r="H90" s="404" t="s">
        <v>1048</v>
      </c>
      <c r="I90" s="30" t="s">
        <v>1156</v>
      </c>
    </row>
    <row r="91" spans="1:9" ht="13.8" x14ac:dyDescent="0.25">
      <c r="A91" s="68" t="str">
        <f>'G-1 All Habitats'!B91</f>
        <v>Woodland and forest - Lowland beech and yew woodland</v>
      </c>
      <c r="B91" s="404">
        <v>3</v>
      </c>
      <c r="C91" s="404">
        <v>2.5</v>
      </c>
      <c r="D91" s="404">
        <v>2</v>
      </c>
      <c r="E91" s="404">
        <v>1.5</v>
      </c>
      <c r="F91" s="404">
        <v>1</v>
      </c>
      <c r="G91" s="404" t="s">
        <v>1048</v>
      </c>
      <c r="H91" s="404" t="s">
        <v>1048</v>
      </c>
      <c r="I91" s="30" t="str">
        <f t="shared" ref="I91:I135" si="3">IF(G91=1,"Cond1",IF(H91=0,"Cond2",IF(AND(B91=3,C91=2.5,D91=2,E91=1.5,F91=1),"Cond4",IF(F91=1,"Cond3","Check"))))</f>
        <v>Cond4</v>
      </c>
    </row>
    <row r="92" spans="1:9" ht="13.8" x14ac:dyDescent="0.25">
      <c r="A92" s="68" t="str">
        <f>'G-1 All Habitats'!B92</f>
        <v>Woodland and forest - Lowland mixed deciduous woodland</v>
      </c>
      <c r="B92" s="404">
        <v>3</v>
      </c>
      <c r="C92" s="404">
        <v>2.5</v>
      </c>
      <c r="D92" s="404">
        <v>2</v>
      </c>
      <c r="E92" s="404">
        <v>1.5</v>
      </c>
      <c r="F92" s="404">
        <v>1</v>
      </c>
      <c r="G92" s="404" t="s">
        <v>1048</v>
      </c>
      <c r="H92" s="404" t="s">
        <v>1048</v>
      </c>
      <c r="I92" s="30" t="str">
        <f t="shared" si="3"/>
        <v>Cond4</v>
      </c>
    </row>
    <row r="93" spans="1:9" ht="13.8" x14ac:dyDescent="0.25">
      <c r="A93" s="68" t="str">
        <f>'G-1 All Habitats'!B93</f>
        <v>Woodland and forest - Native pine woodlands</v>
      </c>
      <c r="B93" s="404">
        <v>3</v>
      </c>
      <c r="C93" s="404">
        <v>2.5</v>
      </c>
      <c r="D93" s="404">
        <v>2</v>
      </c>
      <c r="E93" s="404">
        <v>1.5</v>
      </c>
      <c r="F93" s="404">
        <v>1</v>
      </c>
      <c r="G93" s="404" t="s">
        <v>1048</v>
      </c>
      <c r="H93" s="404" t="s">
        <v>1048</v>
      </c>
      <c r="I93" s="30" t="str">
        <f t="shared" si="3"/>
        <v>Cond4</v>
      </c>
    </row>
    <row r="94" spans="1:9" ht="13.8" x14ac:dyDescent="0.25">
      <c r="A94" s="68" t="str">
        <f>'G-1 All Habitats'!B94</f>
        <v>Woodland and forest - Other coniferous woodland</v>
      </c>
      <c r="B94" s="404">
        <v>3</v>
      </c>
      <c r="C94" s="404">
        <v>2.5</v>
      </c>
      <c r="D94" s="404">
        <v>2</v>
      </c>
      <c r="E94" s="404">
        <v>1.5</v>
      </c>
      <c r="F94" s="404">
        <v>1</v>
      </c>
      <c r="G94" s="404" t="s">
        <v>1048</v>
      </c>
      <c r="H94" s="404" t="s">
        <v>1048</v>
      </c>
      <c r="I94" s="30" t="str">
        <f t="shared" si="3"/>
        <v>Cond4</v>
      </c>
    </row>
    <row r="95" spans="1:9" ht="13.8" x14ac:dyDescent="0.25">
      <c r="A95" s="68" t="str">
        <f>'G-1 All Habitats'!B95</f>
        <v>Woodland and forest - Other Scot's pine woodland</v>
      </c>
      <c r="B95" s="404">
        <v>3</v>
      </c>
      <c r="C95" s="404">
        <v>2.5</v>
      </c>
      <c r="D95" s="404">
        <v>2</v>
      </c>
      <c r="E95" s="404">
        <v>1.5</v>
      </c>
      <c r="F95" s="404">
        <v>1</v>
      </c>
      <c r="G95" s="404" t="s">
        <v>1048</v>
      </c>
      <c r="H95" s="404" t="s">
        <v>1048</v>
      </c>
      <c r="I95" s="30" t="str">
        <f t="shared" si="3"/>
        <v>Cond4</v>
      </c>
    </row>
    <row r="96" spans="1:9" ht="13.8" x14ac:dyDescent="0.25">
      <c r="A96" s="68" t="str">
        <f>'G-1 All Habitats'!B96</f>
        <v>Woodland and forest - Other woodland; broadleaved</v>
      </c>
      <c r="B96" s="404">
        <v>3</v>
      </c>
      <c r="C96" s="404">
        <v>2.5</v>
      </c>
      <c r="D96" s="404">
        <v>2</v>
      </c>
      <c r="E96" s="404">
        <v>1.5</v>
      </c>
      <c r="F96" s="404">
        <v>1</v>
      </c>
      <c r="G96" s="404" t="s">
        <v>1048</v>
      </c>
      <c r="H96" s="404" t="s">
        <v>1048</v>
      </c>
      <c r="I96" s="30" t="str">
        <f t="shared" si="3"/>
        <v>Cond4</v>
      </c>
    </row>
    <row r="97" spans="1:9" ht="13.8" x14ac:dyDescent="0.25">
      <c r="A97" s="68" t="str">
        <f>'G-1 All Habitats'!B97</f>
        <v>Woodland and forest - Other woodland; mixed</v>
      </c>
      <c r="B97" s="404">
        <v>3</v>
      </c>
      <c r="C97" s="404">
        <v>2.5</v>
      </c>
      <c r="D97" s="404">
        <v>2</v>
      </c>
      <c r="E97" s="404">
        <v>1.5</v>
      </c>
      <c r="F97" s="404">
        <v>1</v>
      </c>
      <c r="G97" s="404" t="s">
        <v>1048</v>
      </c>
      <c r="H97" s="404" t="s">
        <v>1048</v>
      </c>
      <c r="I97" s="30" t="str">
        <f t="shared" si="3"/>
        <v>Cond4</v>
      </c>
    </row>
    <row r="98" spans="1:9" ht="13.8" x14ac:dyDescent="0.25">
      <c r="A98" s="68" t="str">
        <f>'G-1 All Habitats'!B98</f>
        <v>Woodland and forest - Upland birchwoods</v>
      </c>
      <c r="B98" s="404">
        <v>3</v>
      </c>
      <c r="C98" s="404">
        <v>2.5</v>
      </c>
      <c r="D98" s="404">
        <v>2</v>
      </c>
      <c r="E98" s="404">
        <v>1.5</v>
      </c>
      <c r="F98" s="404">
        <v>1</v>
      </c>
      <c r="G98" s="404" t="s">
        <v>1048</v>
      </c>
      <c r="H98" s="404" t="s">
        <v>1048</v>
      </c>
      <c r="I98" s="30" t="str">
        <f t="shared" si="3"/>
        <v>Cond4</v>
      </c>
    </row>
    <row r="99" spans="1:9" ht="13.8" x14ac:dyDescent="0.25">
      <c r="A99" s="68" t="str">
        <f>'G-1 All Habitats'!B99</f>
        <v>Woodland and forest - Upland mixed ashwoods</v>
      </c>
      <c r="B99" s="404">
        <v>3</v>
      </c>
      <c r="C99" s="404">
        <v>2.5</v>
      </c>
      <c r="D99" s="404">
        <v>2</v>
      </c>
      <c r="E99" s="404">
        <v>1.5</v>
      </c>
      <c r="F99" s="404">
        <v>1</v>
      </c>
      <c r="G99" s="404" t="s">
        <v>1048</v>
      </c>
      <c r="H99" s="404" t="s">
        <v>1048</v>
      </c>
      <c r="I99" s="30" t="str">
        <f t="shared" si="3"/>
        <v>Cond4</v>
      </c>
    </row>
    <row r="100" spans="1:9" ht="13.8" x14ac:dyDescent="0.25">
      <c r="A100" s="68" t="str">
        <f>'G-1 All Habitats'!B100</f>
        <v>Woodland and forest - Upland oakwood</v>
      </c>
      <c r="B100" s="404">
        <v>3</v>
      </c>
      <c r="C100" s="404">
        <v>2.5</v>
      </c>
      <c r="D100" s="404">
        <v>2</v>
      </c>
      <c r="E100" s="404">
        <v>1.5</v>
      </c>
      <c r="F100" s="404">
        <v>1</v>
      </c>
      <c r="G100" s="404" t="s">
        <v>1048</v>
      </c>
      <c r="H100" s="404" t="s">
        <v>1048</v>
      </c>
      <c r="I100" s="30" t="str">
        <f t="shared" si="3"/>
        <v>Cond4</v>
      </c>
    </row>
    <row r="101" spans="1:9" ht="13.8" x14ac:dyDescent="0.25">
      <c r="A101" s="68" t="str">
        <f>'G-1 All Habitats'!B101</f>
        <v>Woodland and forest - Wet woodland</v>
      </c>
      <c r="B101" s="404">
        <v>3</v>
      </c>
      <c r="C101" s="404">
        <v>2.5</v>
      </c>
      <c r="D101" s="404">
        <v>2</v>
      </c>
      <c r="E101" s="404">
        <v>1.5</v>
      </c>
      <c r="F101" s="404">
        <v>1</v>
      </c>
      <c r="G101" s="404" t="s">
        <v>1048</v>
      </c>
      <c r="H101" s="404" t="s">
        <v>1048</v>
      </c>
      <c r="I101" s="30" t="str">
        <f t="shared" si="3"/>
        <v>Cond4</v>
      </c>
    </row>
    <row r="102" spans="1:9" ht="13.8" x14ac:dyDescent="0.25">
      <c r="A102" s="68" t="str">
        <f>'G-1 All Habitats'!B102</f>
        <v>Woodland and forest - Wood-pasture and parkland</v>
      </c>
      <c r="B102" s="404">
        <v>3</v>
      </c>
      <c r="C102" s="404">
        <v>2.5</v>
      </c>
      <c r="D102" s="404">
        <v>2</v>
      </c>
      <c r="E102" s="404">
        <v>1.5</v>
      </c>
      <c r="F102" s="404">
        <v>1</v>
      </c>
      <c r="G102" s="404" t="s">
        <v>1048</v>
      </c>
      <c r="H102" s="404" t="s">
        <v>1048</v>
      </c>
      <c r="I102" s="30" t="str">
        <f t="shared" si="3"/>
        <v>Cond4</v>
      </c>
    </row>
    <row r="103" spans="1:9" ht="13.8" x14ac:dyDescent="0.25">
      <c r="A103" s="68" t="str">
        <f>'G-1 All Habitats'!B103</f>
        <v>Coastal lagoons - Coastal lagoons</v>
      </c>
      <c r="B103" s="404">
        <v>3</v>
      </c>
      <c r="C103" s="404">
        <v>2.5</v>
      </c>
      <c r="D103" s="404">
        <v>2</v>
      </c>
      <c r="E103" s="404">
        <v>1.5</v>
      </c>
      <c r="F103" s="404">
        <v>1</v>
      </c>
      <c r="G103" s="404" t="s">
        <v>1048</v>
      </c>
      <c r="H103" s="404" t="s">
        <v>1048</v>
      </c>
      <c r="I103" s="30" t="str">
        <f t="shared" si="3"/>
        <v>Cond4</v>
      </c>
    </row>
    <row r="104" spans="1:9" ht="13.8" x14ac:dyDescent="0.25">
      <c r="A104" s="68" t="str">
        <f>'G-1 All Habitats'!B104</f>
        <v>Rocky shore - High energy littoral rock</v>
      </c>
      <c r="B104" s="404">
        <v>3</v>
      </c>
      <c r="C104" s="404">
        <v>2.5</v>
      </c>
      <c r="D104" s="404">
        <v>2</v>
      </c>
      <c r="E104" s="404">
        <v>1.5</v>
      </c>
      <c r="F104" s="404">
        <v>1</v>
      </c>
      <c r="G104" s="404" t="s">
        <v>1048</v>
      </c>
      <c r="H104" s="404" t="s">
        <v>1048</v>
      </c>
      <c r="I104" s="30" t="str">
        <f t="shared" si="3"/>
        <v>Cond4</v>
      </c>
    </row>
    <row r="105" spans="1:9" ht="13.8" x14ac:dyDescent="0.25">
      <c r="A105" s="68" t="str">
        <f>'G-1 All Habitats'!B105</f>
        <v>Rocky shore - High energy littoral rock - on peat, clay or chalk</v>
      </c>
      <c r="B105" s="404">
        <v>3</v>
      </c>
      <c r="C105" s="404">
        <v>2.5</v>
      </c>
      <c r="D105" s="404">
        <v>2</v>
      </c>
      <c r="E105" s="404">
        <v>1.5</v>
      </c>
      <c r="F105" s="404">
        <v>1</v>
      </c>
      <c r="G105" s="404" t="s">
        <v>1048</v>
      </c>
      <c r="H105" s="404" t="s">
        <v>1048</v>
      </c>
      <c r="I105" s="30" t="str">
        <f t="shared" si="3"/>
        <v>Cond4</v>
      </c>
    </row>
    <row r="106" spans="1:9" ht="13.8" x14ac:dyDescent="0.25">
      <c r="A106" s="68" t="str">
        <f>'G-1 All Habitats'!B106</f>
        <v>Rocky shore - Moderate energy littoral rock</v>
      </c>
      <c r="B106" s="404">
        <v>3</v>
      </c>
      <c r="C106" s="404">
        <v>2.5</v>
      </c>
      <c r="D106" s="404">
        <v>2</v>
      </c>
      <c r="E106" s="404">
        <v>1.5</v>
      </c>
      <c r="F106" s="404">
        <v>1</v>
      </c>
      <c r="G106" s="404" t="s">
        <v>1048</v>
      </c>
      <c r="H106" s="404" t="s">
        <v>1048</v>
      </c>
      <c r="I106" s="30" t="str">
        <f t="shared" si="3"/>
        <v>Cond4</v>
      </c>
    </row>
    <row r="107" spans="1:9" ht="13.8" x14ac:dyDescent="0.25">
      <c r="A107" s="68" t="str">
        <f>'G-1 All Habitats'!B107</f>
        <v>Rocky shore - Moderate energy littoral rock - on peat, clay or chalk</v>
      </c>
      <c r="B107" s="404">
        <v>3</v>
      </c>
      <c r="C107" s="404">
        <v>2.5</v>
      </c>
      <c r="D107" s="404">
        <v>2</v>
      </c>
      <c r="E107" s="404">
        <v>1.5</v>
      </c>
      <c r="F107" s="404">
        <v>1</v>
      </c>
      <c r="G107" s="404" t="s">
        <v>1048</v>
      </c>
      <c r="H107" s="404" t="s">
        <v>1048</v>
      </c>
      <c r="I107" s="30" t="str">
        <f t="shared" si="3"/>
        <v>Cond4</v>
      </c>
    </row>
    <row r="108" spans="1:9" ht="13.8" x14ac:dyDescent="0.25">
      <c r="A108" s="68" t="str">
        <f>'G-1 All Habitats'!B108</f>
        <v>Rocky shore - Low energy littoral rock</v>
      </c>
      <c r="B108" s="404">
        <v>3</v>
      </c>
      <c r="C108" s="404">
        <v>2.5</v>
      </c>
      <c r="D108" s="404">
        <v>2</v>
      </c>
      <c r="E108" s="404">
        <v>1.5</v>
      </c>
      <c r="F108" s="404">
        <v>1</v>
      </c>
      <c r="G108" s="404" t="s">
        <v>1048</v>
      </c>
      <c r="H108" s="404" t="s">
        <v>1048</v>
      </c>
      <c r="I108" s="30" t="str">
        <f t="shared" si="3"/>
        <v>Cond4</v>
      </c>
    </row>
    <row r="109" spans="1:9" ht="13.8" x14ac:dyDescent="0.25">
      <c r="A109" s="68" t="str">
        <f>'G-1 All Habitats'!B109</f>
        <v>Rocky shore - Low energy littoral rock - on peat, clay or chalk</v>
      </c>
      <c r="B109" s="404">
        <v>3</v>
      </c>
      <c r="C109" s="404">
        <v>2.5</v>
      </c>
      <c r="D109" s="404">
        <v>2</v>
      </c>
      <c r="E109" s="404">
        <v>1.5</v>
      </c>
      <c r="F109" s="404">
        <v>1</v>
      </c>
      <c r="G109" s="404" t="s">
        <v>1048</v>
      </c>
      <c r="H109" s="404" t="s">
        <v>1048</v>
      </c>
      <c r="I109" s="30" t="str">
        <f t="shared" si="3"/>
        <v>Cond4</v>
      </c>
    </row>
    <row r="110" spans="1:9" ht="13.8" x14ac:dyDescent="0.25">
      <c r="A110" s="68" t="str">
        <f>'G-1 All Habitats'!B110</f>
        <v>Rocky shore - Features of littoral rock</v>
      </c>
      <c r="B110" s="404">
        <v>3</v>
      </c>
      <c r="C110" s="404">
        <v>2.5</v>
      </c>
      <c r="D110" s="404">
        <v>2</v>
      </c>
      <c r="E110" s="404">
        <v>1.5</v>
      </c>
      <c r="F110" s="404">
        <v>1</v>
      </c>
      <c r="G110" s="404" t="s">
        <v>1048</v>
      </c>
      <c r="H110" s="404" t="s">
        <v>1048</v>
      </c>
      <c r="I110" s="30" t="str">
        <f t="shared" si="3"/>
        <v>Cond4</v>
      </c>
    </row>
    <row r="111" spans="1:9" ht="13.8" x14ac:dyDescent="0.25">
      <c r="A111" s="68" t="str">
        <f>'G-1 All Habitats'!B111</f>
        <v>Rocky shore - Features of littoral rock - on peat, clay or chalk</v>
      </c>
      <c r="B111" s="404">
        <v>3</v>
      </c>
      <c r="C111" s="404">
        <v>2.5</v>
      </c>
      <c r="D111" s="404">
        <v>2</v>
      </c>
      <c r="E111" s="404">
        <v>1.5</v>
      </c>
      <c r="F111" s="404">
        <v>1</v>
      </c>
      <c r="G111" s="404" t="s">
        <v>1048</v>
      </c>
      <c r="H111" s="404" t="s">
        <v>1048</v>
      </c>
      <c r="I111" s="30" t="str">
        <f t="shared" si="3"/>
        <v>Cond4</v>
      </c>
    </row>
    <row r="112" spans="1:9" ht="13.8" x14ac:dyDescent="0.25">
      <c r="A112" s="68" t="str">
        <f>'G-1 All Habitats'!B114</f>
        <v>Intertidal sediment - Littoral coarse sediment</v>
      </c>
      <c r="B112" s="404">
        <v>3</v>
      </c>
      <c r="C112" s="404">
        <v>2.5</v>
      </c>
      <c r="D112" s="404">
        <v>2</v>
      </c>
      <c r="E112" s="404">
        <v>1.5</v>
      </c>
      <c r="F112" s="404">
        <v>1</v>
      </c>
      <c r="G112" s="404" t="s">
        <v>1048</v>
      </c>
      <c r="H112" s="404" t="s">
        <v>1048</v>
      </c>
      <c r="I112" s="30" t="str">
        <f t="shared" si="3"/>
        <v>Cond4</v>
      </c>
    </row>
    <row r="113" spans="1:9" ht="13.8" x14ac:dyDescent="0.25">
      <c r="A113" s="68" t="str">
        <f>'G-1 All Habitats'!B115</f>
        <v>Intertidal sediment - Littoral mud</v>
      </c>
      <c r="B113" s="404">
        <v>3</v>
      </c>
      <c r="C113" s="404">
        <v>2.5</v>
      </c>
      <c r="D113" s="404">
        <v>2</v>
      </c>
      <c r="E113" s="404">
        <v>1.5</v>
      </c>
      <c r="F113" s="404">
        <v>1</v>
      </c>
      <c r="G113" s="404" t="s">
        <v>1048</v>
      </c>
      <c r="H113" s="404" t="s">
        <v>1048</v>
      </c>
      <c r="I113" s="30" t="str">
        <f t="shared" si="3"/>
        <v>Cond4</v>
      </c>
    </row>
    <row r="114" spans="1:9" ht="13.8" x14ac:dyDescent="0.25">
      <c r="A114" s="68" t="str">
        <f>'G-1 All Habitats'!B116</f>
        <v>Intertidal sediment - Littoral mixed sediments</v>
      </c>
      <c r="B114" s="404">
        <v>3</v>
      </c>
      <c r="C114" s="404">
        <v>2.5</v>
      </c>
      <c r="D114" s="404">
        <v>2</v>
      </c>
      <c r="E114" s="404">
        <v>1.5</v>
      </c>
      <c r="F114" s="404">
        <v>1</v>
      </c>
      <c r="G114" s="404" t="s">
        <v>1048</v>
      </c>
      <c r="H114" s="404" t="s">
        <v>1048</v>
      </c>
      <c r="I114" s="30" t="str">
        <f t="shared" si="3"/>
        <v>Cond4</v>
      </c>
    </row>
    <row r="115" spans="1:9" ht="13.8" x14ac:dyDescent="0.25">
      <c r="A115" s="68" t="str">
        <f>'G-1 All Habitats'!B112</f>
        <v>Coastal saltmarsh - Saltmarshes and saline reedbeds</v>
      </c>
      <c r="B115" s="404">
        <v>3</v>
      </c>
      <c r="C115" s="404">
        <v>2.5</v>
      </c>
      <c r="D115" s="404">
        <v>2</v>
      </c>
      <c r="E115" s="404">
        <v>1.5</v>
      </c>
      <c r="F115" s="404">
        <v>1</v>
      </c>
      <c r="G115" s="404" t="s">
        <v>1048</v>
      </c>
      <c r="H115" s="404" t="s">
        <v>1048</v>
      </c>
      <c r="I115" s="30" t="str">
        <f t="shared" si="3"/>
        <v>Cond4</v>
      </c>
    </row>
    <row r="116" spans="1:9" ht="13.8" x14ac:dyDescent="0.25">
      <c r="A116" s="68" t="str">
        <f>'G-1 All Habitats'!B113</f>
        <v>Coastal saltmarsh - Artificial saltmarshes and saline reedbeds</v>
      </c>
      <c r="B116" s="404">
        <v>3</v>
      </c>
      <c r="C116" s="404">
        <v>2.5</v>
      </c>
      <c r="D116" s="404">
        <v>2</v>
      </c>
      <c r="E116" s="404">
        <v>1.5</v>
      </c>
      <c r="F116" s="404">
        <v>1</v>
      </c>
      <c r="G116" s="404" t="s">
        <v>1048</v>
      </c>
      <c r="H116" s="404" t="s">
        <v>1048</v>
      </c>
      <c r="I116" s="30" t="str">
        <f t="shared" si="3"/>
        <v>Cond4</v>
      </c>
    </row>
    <row r="117" spans="1:9" ht="13.8" x14ac:dyDescent="0.25">
      <c r="A117" s="68" t="str">
        <f>'G-1 All Habitats'!B117</f>
        <v>Intertidal sediment - Littoral seagrass</v>
      </c>
      <c r="B117" s="404">
        <v>3</v>
      </c>
      <c r="C117" s="404">
        <v>2.5</v>
      </c>
      <c r="D117" s="404">
        <v>2</v>
      </c>
      <c r="E117" s="404">
        <v>1.5</v>
      </c>
      <c r="F117" s="404">
        <v>1</v>
      </c>
      <c r="G117" s="404" t="s">
        <v>1048</v>
      </c>
      <c r="H117" s="404" t="s">
        <v>1048</v>
      </c>
      <c r="I117" s="30" t="str">
        <f t="shared" si="3"/>
        <v>Cond4</v>
      </c>
    </row>
    <row r="118" spans="1:9" ht="13.8" x14ac:dyDescent="0.25">
      <c r="A118" s="68" t="str">
        <f>'G-1 All Habitats'!B118</f>
        <v>Intertidal sediment - Littoral seagrass on peat, clay or chalk</v>
      </c>
      <c r="B118" s="404">
        <v>3</v>
      </c>
      <c r="C118" s="404">
        <v>2.5</v>
      </c>
      <c r="D118" s="404">
        <v>2</v>
      </c>
      <c r="E118" s="404">
        <v>1.5</v>
      </c>
      <c r="F118" s="404">
        <v>1</v>
      </c>
      <c r="G118" s="404" t="s">
        <v>1048</v>
      </c>
      <c r="H118" s="404" t="s">
        <v>1048</v>
      </c>
      <c r="I118" s="30" t="str">
        <f t="shared" si="3"/>
        <v>Cond4</v>
      </c>
    </row>
    <row r="119" spans="1:9" ht="13.8" x14ac:dyDescent="0.25">
      <c r="A119" s="68" t="str">
        <f>'G-1 All Habitats'!B119</f>
        <v>Intertidal sediment - Littoral biogenic reefs - Mussels</v>
      </c>
      <c r="B119" s="404">
        <v>3</v>
      </c>
      <c r="C119" s="404">
        <v>2.5</v>
      </c>
      <c r="D119" s="404">
        <v>2</v>
      </c>
      <c r="E119" s="404">
        <v>1.5</v>
      </c>
      <c r="F119" s="404">
        <v>1</v>
      </c>
      <c r="G119" s="404" t="s">
        <v>1048</v>
      </c>
      <c r="H119" s="404" t="s">
        <v>1048</v>
      </c>
      <c r="I119" s="30" t="str">
        <f t="shared" si="3"/>
        <v>Cond4</v>
      </c>
    </row>
    <row r="120" spans="1:9" ht="13.8" x14ac:dyDescent="0.25">
      <c r="A120" s="68" t="str">
        <f>'G-1 All Habitats'!B120</f>
        <v>Intertidal sediment - Littoral biogenic reefs - Sabellaria</v>
      </c>
      <c r="B120" s="404">
        <v>3</v>
      </c>
      <c r="C120" s="404">
        <v>2.5</v>
      </c>
      <c r="D120" s="404">
        <v>2</v>
      </c>
      <c r="E120" s="404">
        <v>1.5</v>
      </c>
      <c r="F120" s="404">
        <v>1</v>
      </c>
      <c r="G120" s="404" t="s">
        <v>1048</v>
      </c>
      <c r="H120" s="404" t="s">
        <v>1048</v>
      </c>
      <c r="I120" s="30" t="str">
        <f t="shared" si="3"/>
        <v>Cond4</v>
      </c>
    </row>
    <row r="121" spans="1:9" ht="13.8" x14ac:dyDescent="0.25">
      <c r="A121" s="68" t="str">
        <f>'G-1 All Habitats'!B121</f>
        <v>Intertidal sediment - Features of littoral sediment</v>
      </c>
      <c r="B121" s="404">
        <v>3</v>
      </c>
      <c r="C121" s="404">
        <v>2.5</v>
      </c>
      <c r="D121" s="404">
        <v>2</v>
      </c>
      <c r="E121" s="404">
        <v>1.5</v>
      </c>
      <c r="F121" s="404">
        <v>1</v>
      </c>
      <c r="G121" s="404" t="s">
        <v>1048</v>
      </c>
      <c r="H121" s="404" t="s">
        <v>1048</v>
      </c>
      <c r="I121" s="30" t="str">
        <f t="shared" si="3"/>
        <v>Cond4</v>
      </c>
    </row>
    <row r="122" spans="1:9" ht="13.8" x14ac:dyDescent="0.25">
      <c r="A122" s="68" t="str">
        <f>'G-1 All Habitats'!B122</f>
        <v>Intertidal sediment - Artificial littoral coarse sediment</v>
      </c>
      <c r="B122" s="404">
        <v>3</v>
      </c>
      <c r="C122" s="404">
        <v>2.5</v>
      </c>
      <c r="D122" s="404">
        <v>2</v>
      </c>
      <c r="E122" s="404">
        <v>1.5</v>
      </c>
      <c r="F122" s="404">
        <v>1</v>
      </c>
      <c r="G122" s="404" t="s">
        <v>1048</v>
      </c>
      <c r="H122" s="404" t="s">
        <v>1048</v>
      </c>
      <c r="I122" s="30" t="str">
        <f t="shared" si="3"/>
        <v>Cond4</v>
      </c>
    </row>
    <row r="123" spans="1:9" ht="13.8" x14ac:dyDescent="0.25">
      <c r="A123" s="68" t="str">
        <f>'G-1 All Habitats'!B123</f>
        <v>Intertidal sediment - Artificial littoral mud</v>
      </c>
      <c r="B123" s="404">
        <v>3</v>
      </c>
      <c r="C123" s="404">
        <v>2.5</v>
      </c>
      <c r="D123" s="404">
        <v>2</v>
      </c>
      <c r="E123" s="404">
        <v>1.5</v>
      </c>
      <c r="F123" s="404">
        <v>1</v>
      </c>
      <c r="G123" s="404" t="s">
        <v>1048</v>
      </c>
      <c r="H123" s="404" t="s">
        <v>1048</v>
      </c>
      <c r="I123" s="30" t="str">
        <f t="shared" si="3"/>
        <v>Cond4</v>
      </c>
    </row>
    <row r="124" spans="1:9" ht="13.8" x14ac:dyDescent="0.25">
      <c r="A124" s="68" t="str">
        <f>'G-1 All Habitats'!B124</f>
        <v>Intertidal sediment - Artificial littoral sand</v>
      </c>
      <c r="B124" s="404">
        <v>3</v>
      </c>
      <c r="C124" s="404">
        <v>2.5</v>
      </c>
      <c r="D124" s="404">
        <v>2</v>
      </c>
      <c r="E124" s="404">
        <v>1.5</v>
      </c>
      <c r="F124" s="404">
        <v>1</v>
      </c>
      <c r="G124" s="404" t="s">
        <v>1048</v>
      </c>
      <c r="H124" s="404" t="s">
        <v>1048</v>
      </c>
      <c r="I124" s="30" t="str">
        <f t="shared" si="3"/>
        <v>Cond4</v>
      </c>
    </row>
    <row r="125" spans="1:9" ht="13.8" x14ac:dyDescent="0.25">
      <c r="A125" s="68" t="str">
        <f>'G-1 All Habitats'!B125</f>
        <v>Intertidal sediment - Artificial littoral muddy sand</v>
      </c>
      <c r="B125" s="404">
        <v>3</v>
      </c>
      <c r="C125" s="404">
        <v>2.5</v>
      </c>
      <c r="D125" s="404">
        <v>2</v>
      </c>
      <c r="E125" s="404">
        <v>1.5</v>
      </c>
      <c r="F125" s="404">
        <v>1</v>
      </c>
      <c r="G125" s="404" t="s">
        <v>1048</v>
      </c>
      <c r="H125" s="404" t="s">
        <v>1048</v>
      </c>
      <c r="I125" s="30" t="str">
        <f t="shared" si="3"/>
        <v>Cond4</v>
      </c>
    </row>
    <row r="126" spans="1:9" ht="13.8" x14ac:dyDescent="0.25">
      <c r="A126" s="68" t="str">
        <f>'G-1 All Habitats'!B126</f>
        <v>Intertidal sediment - Artificial littoral mixed sediments</v>
      </c>
      <c r="B126" s="404">
        <v>3</v>
      </c>
      <c r="C126" s="404">
        <v>2.5</v>
      </c>
      <c r="D126" s="404">
        <v>2</v>
      </c>
      <c r="E126" s="404">
        <v>1.5</v>
      </c>
      <c r="F126" s="404">
        <v>1</v>
      </c>
      <c r="G126" s="404" t="s">
        <v>1048</v>
      </c>
      <c r="H126" s="404" t="s">
        <v>1048</v>
      </c>
      <c r="I126" s="30" t="str">
        <f t="shared" si="3"/>
        <v>Cond4</v>
      </c>
    </row>
    <row r="127" spans="1:9" ht="13.8" x14ac:dyDescent="0.25">
      <c r="A127" s="68" t="str">
        <f>'G-1 All Habitats'!B127</f>
        <v>Intertidal sediment - Artificial littoral seagrass</v>
      </c>
      <c r="B127" s="404">
        <v>3</v>
      </c>
      <c r="C127" s="404">
        <v>2.5</v>
      </c>
      <c r="D127" s="404">
        <v>2</v>
      </c>
      <c r="E127" s="404">
        <v>1.5</v>
      </c>
      <c r="F127" s="404">
        <v>1</v>
      </c>
      <c r="G127" s="404" t="s">
        <v>1048</v>
      </c>
      <c r="H127" s="404" t="s">
        <v>1048</v>
      </c>
      <c r="I127" s="30" t="str">
        <f t="shared" si="3"/>
        <v>Cond4</v>
      </c>
    </row>
    <row r="128" spans="1:9" ht="13.8" x14ac:dyDescent="0.25">
      <c r="A128" s="68" t="str">
        <f>'G-1 All Habitats'!B128</f>
        <v>Intertidal sediment - Artificial littoral biogenic reefs</v>
      </c>
      <c r="B128" s="404">
        <v>3</v>
      </c>
      <c r="C128" s="404">
        <v>2.5</v>
      </c>
      <c r="D128" s="404">
        <v>2</v>
      </c>
      <c r="E128" s="404">
        <v>1.5</v>
      </c>
      <c r="F128" s="404">
        <v>1</v>
      </c>
      <c r="G128" s="404" t="s">
        <v>1048</v>
      </c>
      <c r="H128" s="404" t="s">
        <v>1048</v>
      </c>
      <c r="I128" s="30" t="str">
        <f t="shared" si="3"/>
        <v>Cond4</v>
      </c>
    </row>
    <row r="129" spans="1:9" ht="13.8" x14ac:dyDescent="0.25">
      <c r="A129" s="68" t="str">
        <f>'G-1 All Habitats'!B129</f>
        <v>Intertidal sediment - Littoral sand</v>
      </c>
      <c r="B129" s="404">
        <v>3</v>
      </c>
      <c r="C129" s="404">
        <v>2.5</v>
      </c>
      <c r="D129" s="404">
        <v>2</v>
      </c>
      <c r="E129" s="404">
        <v>1.5</v>
      </c>
      <c r="F129" s="404">
        <v>1</v>
      </c>
      <c r="G129" s="404" t="s">
        <v>1048</v>
      </c>
      <c r="H129" s="404" t="s">
        <v>1048</v>
      </c>
      <c r="I129" s="30" t="str">
        <f t="shared" si="3"/>
        <v>Cond4</v>
      </c>
    </row>
    <row r="130" spans="1:9" ht="13.8" x14ac:dyDescent="0.25">
      <c r="A130" s="68" t="str">
        <f>'G-1 All Habitats'!B130</f>
        <v>Intertidal sediment - Littoral muddy sand</v>
      </c>
      <c r="B130" s="404">
        <v>3</v>
      </c>
      <c r="C130" s="404">
        <v>2.5</v>
      </c>
      <c r="D130" s="404">
        <v>2</v>
      </c>
      <c r="E130" s="404">
        <v>1.5</v>
      </c>
      <c r="F130" s="404">
        <v>1</v>
      </c>
      <c r="G130" s="404" t="s">
        <v>1048</v>
      </c>
      <c r="H130" s="404" t="s">
        <v>1048</v>
      </c>
      <c r="I130" s="30" t="str">
        <f t="shared" si="3"/>
        <v>Cond4</v>
      </c>
    </row>
    <row r="131" spans="1:9" ht="13.8" x14ac:dyDescent="0.25">
      <c r="A131" s="68" t="str">
        <f>'G-1 All Habitats'!B131</f>
        <v>Intertidal hard structures - Artificial hard structures</v>
      </c>
      <c r="B131" s="404">
        <v>3</v>
      </c>
      <c r="C131" s="404">
        <v>2.5</v>
      </c>
      <c r="D131" s="404">
        <v>2</v>
      </c>
      <c r="E131" s="404">
        <v>1.5</v>
      </c>
      <c r="F131" s="404">
        <v>1</v>
      </c>
      <c r="G131" s="404" t="s">
        <v>1048</v>
      </c>
      <c r="H131" s="404" t="s">
        <v>1048</v>
      </c>
      <c r="I131" s="30" t="str">
        <f t="shared" si="3"/>
        <v>Cond4</v>
      </c>
    </row>
    <row r="132" spans="1:9" ht="13.8" x14ac:dyDescent="0.25">
      <c r="A132" s="68" t="str">
        <f>'G-1 All Habitats'!B132</f>
        <v>Intertidal hard structures - Artificial features of hard structures</v>
      </c>
      <c r="B132" s="404">
        <v>3</v>
      </c>
      <c r="C132" s="404">
        <v>2.5</v>
      </c>
      <c r="D132" s="404">
        <v>2</v>
      </c>
      <c r="E132" s="404">
        <v>1.5</v>
      </c>
      <c r="F132" s="404">
        <v>1</v>
      </c>
      <c r="G132" s="404" t="s">
        <v>1048</v>
      </c>
      <c r="H132" s="404" t="s">
        <v>1048</v>
      </c>
      <c r="I132" s="30" t="str">
        <f t="shared" si="3"/>
        <v>Cond4</v>
      </c>
    </row>
    <row r="133" spans="1:9" ht="13.8" x14ac:dyDescent="0.25">
      <c r="A133" s="68" t="str">
        <f>'G-1 All Habitats'!B133</f>
        <v>Intertidal hard structures - Artificial hard structures with integrated greening of grey infrastructure (IGGI)</v>
      </c>
      <c r="B133" s="404">
        <v>3</v>
      </c>
      <c r="C133" s="404">
        <v>2.5</v>
      </c>
      <c r="D133" s="404">
        <v>2</v>
      </c>
      <c r="E133" s="404">
        <v>1.5</v>
      </c>
      <c r="F133" s="404">
        <v>1</v>
      </c>
      <c r="G133" s="404" t="s">
        <v>1048</v>
      </c>
      <c r="H133" s="404" t="s">
        <v>1048</v>
      </c>
      <c r="I133" s="30" t="str">
        <f t="shared" si="3"/>
        <v>Cond4</v>
      </c>
    </row>
    <row r="134" spans="1:9" ht="13.8" x14ac:dyDescent="0.25">
      <c r="A134" s="68" t="s">
        <v>926</v>
      </c>
      <c r="B134" s="404" t="s">
        <v>1048</v>
      </c>
      <c r="C134" s="404" t="s">
        <v>1048</v>
      </c>
      <c r="D134" s="404" t="s">
        <v>1048</v>
      </c>
      <c r="E134" s="404" t="s">
        <v>1048</v>
      </c>
      <c r="F134" s="404" t="s">
        <v>1048</v>
      </c>
      <c r="G134" s="404" t="s">
        <v>1048</v>
      </c>
      <c r="H134" s="404">
        <v>0</v>
      </c>
      <c r="I134" s="30" t="str">
        <f t="shared" si="3"/>
        <v>Cond2</v>
      </c>
    </row>
    <row r="135" spans="1:9" ht="13.8" x14ac:dyDescent="0.25">
      <c r="A135" s="68" t="s">
        <v>744</v>
      </c>
      <c r="B135" s="404">
        <v>3</v>
      </c>
      <c r="C135" s="404">
        <v>2.5</v>
      </c>
      <c r="D135" s="404">
        <v>2</v>
      </c>
      <c r="E135" s="404">
        <v>1.5</v>
      </c>
      <c r="F135" s="404">
        <v>1</v>
      </c>
      <c r="G135" s="404" t="s">
        <v>1048</v>
      </c>
      <c r="H135" s="404" t="s">
        <v>1048</v>
      </c>
      <c r="I135" s="30" t="str">
        <f t="shared" si="3"/>
        <v>Cond4</v>
      </c>
    </row>
    <row r="136" spans="1:9" ht="13.8" x14ac:dyDescent="0.25"/>
    <row r="137" spans="1:9" ht="14.55" customHeight="1" x14ac:dyDescent="0.25"/>
    <row r="138" spans="1:9" ht="14.55" customHeight="1" x14ac:dyDescent="0.25"/>
    <row r="139" spans="1:9" ht="14.55" customHeight="1" x14ac:dyDescent="0.25"/>
    <row r="140" spans="1:9" ht="14.55" customHeight="1" x14ac:dyDescent="0.25"/>
    <row r="141" spans="1:9" ht="14.55" customHeight="1" x14ac:dyDescent="0.25"/>
    <row r="142" spans="1:9" ht="14.55" customHeight="1" x14ac:dyDescent="0.25"/>
    <row r="143" spans="1:9" ht="14.55" customHeight="1" x14ac:dyDescent="0.25"/>
    <row r="144" spans="1:9" ht="14.55" customHeight="1" x14ac:dyDescent="0.25"/>
    <row r="145" ht="14.55" customHeight="1" x14ac:dyDescent="0.25"/>
    <row r="146" ht="14.55" customHeight="1" x14ac:dyDescent="0.25"/>
    <row r="147" ht="14.55" customHeight="1" x14ac:dyDescent="0.25"/>
    <row r="148" ht="14.55" customHeight="1" x14ac:dyDescent="0.25"/>
    <row r="149" ht="14.55" customHeight="1" x14ac:dyDescent="0.25"/>
    <row r="150" ht="14.55" customHeight="1" x14ac:dyDescent="0.25"/>
    <row r="151" ht="14.55" customHeight="1" x14ac:dyDescent="0.25"/>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 zeroHeight="1" x14ac:dyDescent="0.3"/>
  <cols>
    <col min="1" max="1" width="9.21875" style="220" customWidth="1"/>
    <col min="2" max="2" width="44.21875" style="220" customWidth="1"/>
    <col min="3" max="3" width="60.5546875" style="220" customWidth="1"/>
    <col min="4" max="4" width="31.77734375" style="220" customWidth="1"/>
    <col min="5" max="19" width="9.21875" style="220" customWidth="1"/>
    <col min="20" max="16384" width="9.21875" style="220" hidden="1"/>
  </cols>
  <sheetData>
    <row r="1" spans="2:4" ht="61.2" customHeight="1" thickBot="1" x14ac:dyDescent="0.35"/>
    <row r="2" spans="2:4" ht="61.2" customHeight="1" thickBot="1" x14ac:dyDescent="0.35">
      <c r="B2" s="1684" t="s">
        <v>1157</v>
      </c>
      <c r="C2" s="1685"/>
      <c r="D2" s="1686"/>
    </row>
    <row r="3" spans="2:4" ht="16.2" thickBot="1" x14ac:dyDescent="0.35">
      <c r="B3" s="694" t="s">
        <v>1158</v>
      </c>
      <c r="C3" s="695" t="s">
        <v>1159</v>
      </c>
      <c r="D3" s="696" t="s">
        <v>1160</v>
      </c>
    </row>
    <row r="4" spans="2:4" x14ac:dyDescent="0.3">
      <c r="B4" s="697" t="s">
        <v>1161</v>
      </c>
      <c r="C4" s="446" t="s">
        <v>804</v>
      </c>
      <c r="D4" s="444" t="s">
        <v>70</v>
      </c>
    </row>
    <row r="5" spans="2:4" x14ac:dyDescent="0.3">
      <c r="B5" s="613" t="s">
        <v>1162</v>
      </c>
      <c r="C5" s="404" t="s">
        <v>801</v>
      </c>
      <c r="D5" s="452" t="s">
        <v>70</v>
      </c>
    </row>
    <row r="6" spans="2:4" x14ac:dyDescent="0.3">
      <c r="B6" s="613" t="s">
        <v>1163</v>
      </c>
      <c r="C6" s="404" t="s">
        <v>786</v>
      </c>
      <c r="D6" s="452" t="s">
        <v>213</v>
      </c>
    </row>
    <row r="7" spans="2:4" x14ac:dyDescent="0.3">
      <c r="B7" s="613" t="s">
        <v>1164</v>
      </c>
      <c r="C7" s="404" t="s">
        <v>801</v>
      </c>
      <c r="D7" s="452" t="s">
        <v>70</v>
      </c>
    </row>
    <row r="8" spans="2:4" x14ac:dyDescent="0.3">
      <c r="B8" s="613" t="s">
        <v>792</v>
      </c>
      <c r="C8" s="404" t="s">
        <v>794</v>
      </c>
      <c r="D8" s="452" t="s">
        <v>216</v>
      </c>
    </row>
    <row r="9" spans="2:4" x14ac:dyDescent="0.3">
      <c r="B9" s="613" t="s">
        <v>1165</v>
      </c>
      <c r="C9" s="404" t="s">
        <v>789</v>
      </c>
      <c r="D9" s="452" t="s">
        <v>213</v>
      </c>
    </row>
    <row r="10" spans="2:4" x14ac:dyDescent="0.3">
      <c r="B10" s="613" t="s">
        <v>1166</v>
      </c>
      <c r="C10" s="404" t="s">
        <v>794</v>
      </c>
      <c r="D10" s="452" t="s">
        <v>216</v>
      </c>
    </row>
    <row r="11" spans="2:4" x14ac:dyDescent="0.3">
      <c r="B11" s="613" t="s">
        <v>1167</v>
      </c>
      <c r="C11" s="404" t="s">
        <v>804</v>
      </c>
      <c r="D11" s="452" t="s">
        <v>70</v>
      </c>
    </row>
    <row r="12" spans="2:4" x14ac:dyDescent="0.3">
      <c r="B12" s="613" t="s">
        <v>1168</v>
      </c>
      <c r="C12" s="404" t="s">
        <v>786</v>
      </c>
      <c r="D12" s="452" t="s">
        <v>213</v>
      </c>
    </row>
    <row r="13" spans="2:4" x14ac:dyDescent="0.3">
      <c r="B13" s="613" t="s">
        <v>1169</v>
      </c>
      <c r="C13" s="404" t="s">
        <v>804</v>
      </c>
      <c r="D13" s="452" t="s">
        <v>70</v>
      </c>
    </row>
    <row r="14" spans="2:4" x14ac:dyDescent="0.3">
      <c r="B14" s="613" t="s">
        <v>1170</v>
      </c>
      <c r="C14" s="404" t="s">
        <v>587</v>
      </c>
      <c r="D14" s="452" t="s">
        <v>70</v>
      </c>
    </row>
    <row r="15" spans="2:4" x14ac:dyDescent="0.3">
      <c r="B15" s="613" t="s">
        <v>1171</v>
      </c>
      <c r="C15" s="404" t="s">
        <v>587</v>
      </c>
      <c r="D15" s="452" t="s">
        <v>70</v>
      </c>
    </row>
    <row r="16" spans="2:4" x14ac:dyDescent="0.3">
      <c r="B16" s="613" t="s">
        <v>1172</v>
      </c>
      <c r="C16" s="404" t="s">
        <v>587</v>
      </c>
      <c r="D16" s="452" t="s">
        <v>70</v>
      </c>
    </row>
    <row r="17" spans="2:4" x14ac:dyDescent="0.3">
      <c r="B17" s="613" t="s">
        <v>1173</v>
      </c>
      <c r="C17" s="404" t="s">
        <v>821</v>
      </c>
      <c r="D17" s="452" t="s">
        <v>467</v>
      </c>
    </row>
    <row r="18" spans="2:4" x14ac:dyDescent="0.3">
      <c r="B18" s="613" t="s">
        <v>1174</v>
      </c>
      <c r="C18" s="404" t="s">
        <v>821</v>
      </c>
      <c r="D18" s="452" t="s">
        <v>467</v>
      </c>
    </row>
    <row r="19" spans="2:4" x14ac:dyDescent="0.3">
      <c r="B19" s="613" t="s">
        <v>1175</v>
      </c>
      <c r="C19" s="404" t="s">
        <v>794</v>
      </c>
      <c r="D19" s="452" t="s">
        <v>70</v>
      </c>
    </row>
    <row r="20" spans="2:4" x14ac:dyDescent="0.3">
      <c r="B20" s="613" t="s">
        <v>1176</v>
      </c>
      <c r="C20" s="404" t="s">
        <v>821</v>
      </c>
      <c r="D20" s="452" t="s">
        <v>467</v>
      </c>
    </row>
    <row r="21" spans="2:4" x14ac:dyDescent="0.3">
      <c r="B21" s="613" t="s">
        <v>1177</v>
      </c>
      <c r="C21" s="404" t="s">
        <v>740</v>
      </c>
      <c r="D21" s="452" t="s">
        <v>70</v>
      </c>
    </row>
    <row r="22" spans="2:4" x14ac:dyDescent="0.3">
      <c r="B22" s="613" t="s">
        <v>1177</v>
      </c>
      <c r="C22" s="404" t="s">
        <v>744</v>
      </c>
      <c r="D22" s="452" t="s">
        <v>70</v>
      </c>
    </row>
    <row r="23" spans="2:4" x14ac:dyDescent="0.3">
      <c r="B23" s="613" t="s">
        <v>1178</v>
      </c>
      <c r="C23" s="404" t="s">
        <v>779</v>
      </c>
      <c r="D23" s="452" t="s">
        <v>213</v>
      </c>
    </row>
    <row r="24" spans="2:4" x14ac:dyDescent="0.3">
      <c r="B24" s="613" t="s">
        <v>1179</v>
      </c>
      <c r="C24" s="404" t="s">
        <v>779</v>
      </c>
      <c r="D24" s="452" t="s">
        <v>213</v>
      </c>
    </row>
    <row r="25" spans="2:4" x14ac:dyDescent="0.3">
      <c r="B25" s="613" t="s">
        <v>1180</v>
      </c>
      <c r="C25" s="404" t="s">
        <v>779</v>
      </c>
      <c r="D25" s="452" t="s">
        <v>213</v>
      </c>
    </row>
    <row r="26" spans="2:4" x14ac:dyDescent="0.3">
      <c r="B26" s="613" t="s">
        <v>1181</v>
      </c>
      <c r="C26" s="404" t="s">
        <v>779</v>
      </c>
      <c r="D26" s="452" t="s">
        <v>213</v>
      </c>
    </row>
    <row r="27" spans="2:4" x14ac:dyDescent="0.3">
      <c r="B27" s="613" t="s">
        <v>513</v>
      </c>
      <c r="C27" s="404" t="s">
        <v>542</v>
      </c>
      <c r="D27" s="452" t="s">
        <v>70</v>
      </c>
    </row>
    <row r="28" spans="2:4" x14ac:dyDescent="0.3">
      <c r="B28" s="613" t="s">
        <v>513</v>
      </c>
      <c r="C28" s="404" t="s">
        <v>554</v>
      </c>
      <c r="D28" s="452" t="s">
        <v>70</v>
      </c>
    </row>
    <row r="29" spans="2:4" x14ac:dyDescent="0.3">
      <c r="B29" s="613" t="s">
        <v>1182</v>
      </c>
      <c r="C29" s="404" t="s">
        <v>527</v>
      </c>
      <c r="D29" s="452" t="s">
        <v>467</v>
      </c>
    </row>
    <row r="30" spans="2:4" x14ac:dyDescent="0.3">
      <c r="B30" s="613" t="s">
        <v>1182</v>
      </c>
      <c r="C30" s="404" t="s">
        <v>560</v>
      </c>
      <c r="D30" s="452" t="s">
        <v>467</v>
      </c>
    </row>
    <row r="31" spans="2:4" x14ac:dyDescent="0.3">
      <c r="B31" s="613" t="s">
        <v>1183</v>
      </c>
      <c r="C31" s="404" t="s">
        <v>554</v>
      </c>
      <c r="D31" s="452" t="s">
        <v>70</v>
      </c>
    </row>
    <row r="32" spans="2:4" x14ac:dyDescent="0.3">
      <c r="B32" s="613" t="s">
        <v>1183</v>
      </c>
      <c r="C32" s="404" t="s">
        <v>542</v>
      </c>
      <c r="D32" s="452" t="s">
        <v>70</v>
      </c>
    </row>
    <row r="33" spans="2:4" x14ac:dyDescent="0.3">
      <c r="B33" s="613" t="s">
        <v>1184</v>
      </c>
      <c r="C33" s="404" t="s">
        <v>538</v>
      </c>
      <c r="D33" s="452" t="s">
        <v>216</v>
      </c>
    </row>
    <row r="34" spans="2:4" x14ac:dyDescent="0.3">
      <c r="B34" s="613" t="s">
        <v>536</v>
      </c>
      <c r="C34" s="404" t="s">
        <v>545</v>
      </c>
      <c r="D34" s="452" t="s">
        <v>70</v>
      </c>
    </row>
    <row r="35" spans="2:4" x14ac:dyDescent="0.3">
      <c r="B35" s="613" t="s">
        <v>1185</v>
      </c>
      <c r="C35" s="404" t="s">
        <v>533</v>
      </c>
      <c r="D35" s="452" t="s">
        <v>467</v>
      </c>
    </row>
    <row r="36" spans="2:4" x14ac:dyDescent="0.3">
      <c r="B36" s="614" t="s">
        <v>1186</v>
      </c>
      <c r="C36" s="428" t="s">
        <v>545</v>
      </c>
      <c r="D36" s="615" t="s">
        <v>70</v>
      </c>
    </row>
    <row r="37" spans="2:4" x14ac:dyDescent="0.3">
      <c r="B37" s="613" t="s">
        <v>1187</v>
      </c>
      <c r="C37" s="404" t="s">
        <v>538</v>
      </c>
      <c r="D37" s="452" t="s">
        <v>216</v>
      </c>
    </row>
    <row r="38" spans="2:4" x14ac:dyDescent="0.3">
      <c r="B38" s="613" t="s">
        <v>524</v>
      </c>
      <c r="C38" s="404" t="s">
        <v>557</v>
      </c>
      <c r="D38" s="452" t="s">
        <v>213</v>
      </c>
    </row>
    <row r="39" spans="2:4" x14ac:dyDescent="0.3">
      <c r="B39" s="613" t="s">
        <v>524</v>
      </c>
      <c r="C39" s="404" t="s">
        <v>521</v>
      </c>
      <c r="D39" s="452" t="s">
        <v>213</v>
      </c>
    </row>
    <row r="40" spans="2:4" x14ac:dyDescent="0.3">
      <c r="B40" s="613" t="s">
        <v>1188</v>
      </c>
      <c r="C40" s="404" t="s">
        <v>521</v>
      </c>
      <c r="D40" s="452" t="s">
        <v>213</v>
      </c>
    </row>
    <row r="41" spans="2:4" x14ac:dyDescent="0.3">
      <c r="B41" s="613" t="s">
        <v>1188</v>
      </c>
      <c r="C41" s="404" t="s">
        <v>557</v>
      </c>
      <c r="D41" s="452" t="s">
        <v>213</v>
      </c>
    </row>
    <row r="42" spans="2:4" ht="29.55" customHeight="1" x14ac:dyDescent="0.3">
      <c r="B42" s="613" t="s">
        <v>1189</v>
      </c>
      <c r="C42" s="404" t="s">
        <v>557</v>
      </c>
      <c r="D42" s="452" t="s">
        <v>213</v>
      </c>
    </row>
    <row r="43" spans="2:4" ht="29.55" customHeight="1" x14ac:dyDescent="0.3">
      <c r="B43" s="613" t="s">
        <v>1189</v>
      </c>
      <c r="C43" s="404" t="s">
        <v>521</v>
      </c>
      <c r="D43" s="452" t="s">
        <v>213</v>
      </c>
    </row>
    <row r="44" spans="2:4" x14ac:dyDescent="0.3">
      <c r="B44" s="613" t="s">
        <v>1190</v>
      </c>
      <c r="C44" s="404" t="s">
        <v>538</v>
      </c>
      <c r="D44" s="452" t="s">
        <v>216</v>
      </c>
    </row>
    <row r="45" spans="2:4" x14ac:dyDescent="0.3">
      <c r="B45" s="613" t="s">
        <v>1191</v>
      </c>
      <c r="C45" s="404" t="s">
        <v>538</v>
      </c>
      <c r="D45" s="452" t="s">
        <v>216</v>
      </c>
    </row>
    <row r="46" spans="2:4" x14ac:dyDescent="0.3">
      <c r="B46" s="613" t="s">
        <v>1192</v>
      </c>
      <c r="C46" s="404" t="s">
        <v>770</v>
      </c>
      <c r="D46" s="452" t="s">
        <v>467</v>
      </c>
    </row>
    <row r="47" spans="2:4" x14ac:dyDescent="0.3">
      <c r="B47" s="613" t="s">
        <v>1192</v>
      </c>
      <c r="C47" s="404" t="s">
        <v>545</v>
      </c>
      <c r="D47" s="452" t="s">
        <v>70</v>
      </c>
    </row>
    <row r="48" spans="2:4" x14ac:dyDescent="0.3">
      <c r="B48" s="613" t="s">
        <v>1192</v>
      </c>
      <c r="C48" s="404" t="s">
        <v>538</v>
      </c>
      <c r="D48" s="452" t="s">
        <v>216</v>
      </c>
    </row>
    <row r="49" spans="2:4" x14ac:dyDescent="0.3">
      <c r="B49" s="613" t="s">
        <v>1193</v>
      </c>
      <c r="C49" s="404" t="s">
        <v>538</v>
      </c>
      <c r="D49" s="452" t="s">
        <v>216</v>
      </c>
    </row>
    <row r="50" spans="2:4" x14ac:dyDescent="0.3">
      <c r="B50" s="613" t="s">
        <v>1194</v>
      </c>
      <c r="C50" s="404" t="s">
        <v>657</v>
      </c>
      <c r="D50" s="452" t="s">
        <v>213</v>
      </c>
    </row>
    <row r="51" spans="2:4" x14ac:dyDescent="0.3">
      <c r="B51" s="613" t="s">
        <v>1195</v>
      </c>
      <c r="C51" s="404" t="s">
        <v>653</v>
      </c>
      <c r="D51" s="452" t="s">
        <v>213</v>
      </c>
    </row>
    <row r="52" spans="2:4" x14ac:dyDescent="0.3">
      <c r="B52" s="613" t="s">
        <v>1196</v>
      </c>
      <c r="C52" s="404" t="s">
        <v>653</v>
      </c>
      <c r="D52" s="452" t="s">
        <v>213</v>
      </c>
    </row>
    <row r="53" spans="2:4" x14ac:dyDescent="0.3">
      <c r="B53" s="613" t="s">
        <v>1197</v>
      </c>
      <c r="C53" s="404" t="s">
        <v>653</v>
      </c>
      <c r="D53" s="452" t="s">
        <v>213</v>
      </c>
    </row>
    <row r="54" spans="2:4" x14ac:dyDescent="0.3">
      <c r="B54" s="613" t="s">
        <v>1198</v>
      </c>
      <c r="C54" s="404" t="s">
        <v>653</v>
      </c>
      <c r="D54" s="452" t="s">
        <v>213</v>
      </c>
    </row>
    <row r="55" spans="2:4" x14ac:dyDescent="0.3">
      <c r="B55" s="613" t="s">
        <v>1199</v>
      </c>
      <c r="C55" s="404" t="s">
        <v>653</v>
      </c>
      <c r="D55" s="452" t="s">
        <v>213</v>
      </c>
    </row>
    <row r="56" spans="2:4" x14ac:dyDescent="0.3">
      <c r="B56" s="613" t="s">
        <v>1200</v>
      </c>
      <c r="C56" s="404" t="s">
        <v>653</v>
      </c>
      <c r="D56" s="452" t="s">
        <v>213</v>
      </c>
    </row>
    <row r="57" spans="2:4" x14ac:dyDescent="0.3">
      <c r="B57" s="613" t="s">
        <v>1201</v>
      </c>
      <c r="C57" s="404" t="s">
        <v>674</v>
      </c>
      <c r="D57" s="452" t="s">
        <v>213</v>
      </c>
    </row>
    <row r="58" spans="2:4" x14ac:dyDescent="0.3">
      <c r="B58" s="613" t="s">
        <v>1202</v>
      </c>
      <c r="C58" s="404" t="s">
        <v>674</v>
      </c>
      <c r="D58" s="452" t="s">
        <v>213</v>
      </c>
    </row>
    <row r="59" spans="2:4" x14ac:dyDescent="0.3">
      <c r="B59" s="613" t="s">
        <v>1203</v>
      </c>
      <c r="C59" s="404" t="s">
        <v>674</v>
      </c>
      <c r="D59" s="452" t="s">
        <v>213</v>
      </c>
    </row>
    <row r="60" spans="2:4" x14ac:dyDescent="0.3">
      <c r="B60" s="613" t="s">
        <v>1204</v>
      </c>
      <c r="C60" s="404" t="s">
        <v>674</v>
      </c>
      <c r="D60" s="452" t="s">
        <v>213</v>
      </c>
    </row>
    <row r="61" spans="2:4" x14ac:dyDescent="0.3">
      <c r="B61" s="613" t="s">
        <v>1204</v>
      </c>
      <c r="C61" s="404" t="s">
        <v>1205</v>
      </c>
      <c r="D61" s="452" t="s">
        <v>213</v>
      </c>
    </row>
    <row r="62" spans="2:4" x14ac:dyDescent="0.3">
      <c r="B62" s="613" t="s">
        <v>1206</v>
      </c>
      <c r="C62" s="404" t="s">
        <v>674</v>
      </c>
      <c r="D62" s="452" t="s">
        <v>213</v>
      </c>
    </row>
    <row r="63" spans="2:4" x14ac:dyDescent="0.3">
      <c r="B63" s="613" t="s">
        <v>1206</v>
      </c>
      <c r="C63" s="404" t="s">
        <v>533</v>
      </c>
      <c r="D63" s="452" t="s">
        <v>467</v>
      </c>
    </row>
    <row r="64" spans="2:4" x14ac:dyDescent="0.3">
      <c r="B64" s="613" t="s">
        <v>1206</v>
      </c>
      <c r="C64" s="404" t="s">
        <v>527</v>
      </c>
      <c r="D64" s="452" t="s">
        <v>467</v>
      </c>
    </row>
    <row r="65" spans="2:4" x14ac:dyDescent="0.3">
      <c r="B65" s="613" t="s">
        <v>1206</v>
      </c>
      <c r="C65" s="404" t="s">
        <v>542</v>
      </c>
      <c r="D65" s="452" t="s">
        <v>70</v>
      </c>
    </row>
    <row r="66" spans="2:4" x14ac:dyDescent="0.3">
      <c r="B66" s="613" t="s">
        <v>1207</v>
      </c>
      <c r="C66" s="404" t="s">
        <v>674</v>
      </c>
      <c r="D66" s="452" t="s">
        <v>213</v>
      </c>
    </row>
    <row r="67" spans="2:4" x14ac:dyDescent="0.3">
      <c r="B67" s="613" t="s">
        <v>1207</v>
      </c>
      <c r="C67" s="430" t="s">
        <v>580</v>
      </c>
      <c r="D67" s="452" t="s">
        <v>213</v>
      </c>
    </row>
    <row r="68" spans="2:4" x14ac:dyDescent="0.3">
      <c r="B68" s="613" t="s">
        <v>1208</v>
      </c>
      <c r="C68" s="404" t="s">
        <v>1209</v>
      </c>
      <c r="D68" s="452" t="s">
        <v>467</v>
      </c>
    </row>
    <row r="69" spans="2:4" x14ac:dyDescent="0.3">
      <c r="B69" s="613" t="s">
        <v>1208</v>
      </c>
      <c r="C69" s="404" t="s">
        <v>1210</v>
      </c>
      <c r="D69" s="452" t="s">
        <v>70</v>
      </c>
    </row>
    <row r="70" spans="2:4" x14ac:dyDescent="0.3">
      <c r="B70" s="613" t="s">
        <v>1208</v>
      </c>
      <c r="C70" s="404" t="s">
        <v>621</v>
      </c>
      <c r="D70" s="452" t="s">
        <v>213</v>
      </c>
    </row>
    <row r="71" spans="2:4" x14ac:dyDescent="0.3">
      <c r="B71" s="613" t="s">
        <v>1208</v>
      </c>
      <c r="C71" s="404" t="s">
        <v>624</v>
      </c>
      <c r="D71" s="452" t="s">
        <v>213</v>
      </c>
    </row>
    <row r="72" spans="2:4" x14ac:dyDescent="0.3">
      <c r="B72" s="613" t="s">
        <v>1208</v>
      </c>
      <c r="C72" s="404" t="s">
        <v>627</v>
      </c>
      <c r="D72" s="452" t="s">
        <v>213</v>
      </c>
    </row>
    <row r="73" spans="2:4" x14ac:dyDescent="0.3">
      <c r="B73" s="613" t="s">
        <v>1208</v>
      </c>
      <c r="C73" s="404" t="s">
        <v>630</v>
      </c>
      <c r="D73" s="452" t="s">
        <v>213</v>
      </c>
    </row>
    <row r="74" spans="2:4" x14ac:dyDescent="0.3">
      <c r="B74" s="613" t="s">
        <v>1208</v>
      </c>
      <c r="C74" s="404" t="s">
        <v>1211</v>
      </c>
      <c r="D74" s="452" t="s">
        <v>213</v>
      </c>
    </row>
    <row r="75" spans="2:4" x14ac:dyDescent="0.3">
      <c r="B75" s="613" t="s">
        <v>1208</v>
      </c>
      <c r="C75" s="404" t="s">
        <v>1212</v>
      </c>
      <c r="D75" s="452" t="s">
        <v>213</v>
      </c>
    </row>
    <row r="76" spans="2:4" x14ac:dyDescent="0.3">
      <c r="B76" s="613" t="s">
        <v>1208</v>
      </c>
      <c r="C76" s="404" t="s">
        <v>1213</v>
      </c>
      <c r="D76" s="452" t="s">
        <v>70</v>
      </c>
    </row>
    <row r="77" spans="2:4" x14ac:dyDescent="0.3">
      <c r="B77" s="613" t="s">
        <v>1208</v>
      </c>
      <c r="C77" s="404" t="s">
        <v>1214</v>
      </c>
      <c r="D77" s="452" t="s">
        <v>70</v>
      </c>
    </row>
    <row r="78" spans="2:4" x14ac:dyDescent="0.3">
      <c r="B78" s="613" t="s">
        <v>1208</v>
      </c>
      <c r="C78" s="404" t="s">
        <v>1215</v>
      </c>
      <c r="D78" s="452" t="s">
        <v>213</v>
      </c>
    </row>
    <row r="79" spans="2:4" x14ac:dyDescent="0.3">
      <c r="B79" s="613" t="s">
        <v>1216</v>
      </c>
      <c r="C79" s="404" t="s">
        <v>580</v>
      </c>
      <c r="D79" s="452" t="s">
        <v>213</v>
      </c>
    </row>
    <row r="80" spans="2:4" x14ac:dyDescent="0.3">
      <c r="B80" s="613" t="s">
        <v>1216</v>
      </c>
      <c r="C80" s="404" t="s">
        <v>609</v>
      </c>
      <c r="D80" s="452" t="s">
        <v>213</v>
      </c>
    </row>
    <row r="81" spans="2:4" x14ac:dyDescent="0.3">
      <c r="B81" s="613" t="s">
        <v>1217</v>
      </c>
      <c r="C81" s="404" t="s">
        <v>580</v>
      </c>
      <c r="D81" s="452" t="s">
        <v>213</v>
      </c>
    </row>
    <row r="82" spans="2:4" x14ac:dyDescent="0.3">
      <c r="B82" s="613" t="s">
        <v>1217</v>
      </c>
      <c r="C82" s="404" t="s">
        <v>609</v>
      </c>
      <c r="D82" s="452" t="s">
        <v>213</v>
      </c>
    </row>
    <row r="83" spans="2:4" x14ac:dyDescent="0.3">
      <c r="B83" s="613" t="s">
        <v>1218</v>
      </c>
      <c r="C83" s="404" t="s">
        <v>580</v>
      </c>
      <c r="D83" s="452" t="s">
        <v>213</v>
      </c>
    </row>
    <row r="84" spans="2:4" x14ac:dyDescent="0.3">
      <c r="B84" s="613" t="s">
        <v>1218</v>
      </c>
      <c r="C84" s="404" t="s">
        <v>609</v>
      </c>
      <c r="D84" s="452" t="s">
        <v>213</v>
      </c>
    </row>
    <row r="85" spans="2:4" x14ac:dyDescent="0.3">
      <c r="B85" s="613" t="s">
        <v>1219</v>
      </c>
      <c r="C85" s="404" t="s">
        <v>580</v>
      </c>
      <c r="D85" s="452" t="s">
        <v>213</v>
      </c>
    </row>
    <row r="86" spans="2:4" x14ac:dyDescent="0.3">
      <c r="B86" s="613" t="s">
        <v>1219</v>
      </c>
      <c r="C86" s="404" t="s">
        <v>609</v>
      </c>
      <c r="D86" s="452" t="s">
        <v>213</v>
      </c>
    </row>
    <row r="87" spans="2:4" x14ac:dyDescent="0.3">
      <c r="B87" s="613" t="s">
        <v>1220</v>
      </c>
      <c r="C87" s="404" t="s">
        <v>580</v>
      </c>
      <c r="D87" s="452" t="s">
        <v>213</v>
      </c>
    </row>
    <row r="88" spans="2:4" x14ac:dyDescent="0.3">
      <c r="B88" s="613" t="s">
        <v>1220</v>
      </c>
      <c r="C88" s="404" t="s">
        <v>609</v>
      </c>
      <c r="D88" s="452" t="s">
        <v>213</v>
      </c>
    </row>
    <row r="89" spans="2:4" x14ac:dyDescent="0.3">
      <c r="B89" s="613" t="s">
        <v>1221</v>
      </c>
      <c r="C89" s="404" t="s">
        <v>591</v>
      </c>
      <c r="D89" s="452" t="s">
        <v>467</v>
      </c>
    </row>
    <row r="90" spans="2:4" x14ac:dyDescent="0.3">
      <c r="B90" s="613" t="s">
        <v>1222</v>
      </c>
      <c r="C90" s="404" t="s">
        <v>580</v>
      </c>
      <c r="D90" s="452" t="s">
        <v>213</v>
      </c>
    </row>
    <row r="91" spans="2:4" x14ac:dyDescent="0.3">
      <c r="B91" s="613" t="s">
        <v>1223</v>
      </c>
      <c r="C91" s="404" t="s">
        <v>580</v>
      </c>
      <c r="D91" s="452" t="s">
        <v>213</v>
      </c>
    </row>
    <row r="92" spans="2:4" x14ac:dyDescent="0.3">
      <c r="B92" s="613" t="s">
        <v>1222</v>
      </c>
      <c r="C92" s="404" t="s">
        <v>609</v>
      </c>
      <c r="D92" s="452" t="s">
        <v>213</v>
      </c>
    </row>
    <row r="93" spans="2:4" x14ac:dyDescent="0.3">
      <c r="B93" s="613" t="s">
        <v>1223</v>
      </c>
      <c r="C93" s="404" t="s">
        <v>609</v>
      </c>
      <c r="D93" s="452" t="s">
        <v>213</v>
      </c>
    </row>
    <row r="94" spans="2:4" x14ac:dyDescent="0.3">
      <c r="B94" s="613" t="s">
        <v>510</v>
      </c>
      <c r="C94" s="404" t="s">
        <v>511</v>
      </c>
      <c r="D94" s="452" t="s">
        <v>216</v>
      </c>
    </row>
    <row r="95" spans="2:4" x14ac:dyDescent="0.3">
      <c r="B95" s="613" t="s">
        <v>1224</v>
      </c>
      <c r="C95" s="404" t="s">
        <v>511</v>
      </c>
      <c r="D95" s="452" t="s">
        <v>216</v>
      </c>
    </row>
    <row r="96" spans="2:4" x14ac:dyDescent="0.3">
      <c r="B96" s="613" t="s">
        <v>1225</v>
      </c>
      <c r="C96" s="404" t="s">
        <v>511</v>
      </c>
      <c r="D96" s="452" t="s">
        <v>216</v>
      </c>
    </row>
    <row r="97" spans="2:4" x14ac:dyDescent="0.3">
      <c r="B97" s="613" t="s">
        <v>1226</v>
      </c>
      <c r="C97" s="430" t="s">
        <v>666</v>
      </c>
      <c r="D97" s="452" t="s">
        <v>213</v>
      </c>
    </row>
    <row r="98" spans="2:4" x14ac:dyDescent="0.3">
      <c r="B98" s="613" t="s">
        <v>1227</v>
      </c>
      <c r="C98" s="404" t="s">
        <v>511</v>
      </c>
      <c r="D98" s="452" t="s">
        <v>70</v>
      </c>
    </row>
    <row r="99" spans="2:4" x14ac:dyDescent="0.3">
      <c r="B99" s="613" t="s">
        <v>1228</v>
      </c>
      <c r="C99" s="430" t="s">
        <v>989</v>
      </c>
      <c r="D99" s="452" t="s">
        <v>216</v>
      </c>
    </row>
    <row r="100" spans="2:4" x14ac:dyDescent="0.3">
      <c r="B100" s="613" t="s">
        <v>1228</v>
      </c>
      <c r="C100" s="430" t="s">
        <v>664</v>
      </c>
      <c r="D100" s="452" t="s">
        <v>216</v>
      </c>
    </row>
    <row r="101" spans="2:4" x14ac:dyDescent="0.3">
      <c r="B101" s="613" t="s">
        <v>1229</v>
      </c>
      <c r="C101" s="430" t="s">
        <v>989</v>
      </c>
      <c r="D101" s="452" t="s">
        <v>216</v>
      </c>
    </row>
    <row r="102" spans="2:4" x14ac:dyDescent="0.3">
      <c r="B102" s="613" t="s">
        <v>749</v>
      </c>
      <c r="C102" s="404" t="s">
        <v>762</v>
      </c>
      <c r="D102" s="452" t="s">
        <v>467</v>
      </c>
    </row>
    <row r="103" spans="2:4" x14ac:dyDescent="0.3">
      <c r="B103" s="613" t="s">
        <v>1230</v>
      </c>
      <c r="C103" s="404" t="s">
        <v>762</v>
      </c>
      <c r="D103" s="452" t="s">
        <v>467</v>
      </c>
    </row>
    <row r="104" spans="2:4" x14ac:dyDescent="0.3">
      <c r="B104" s="613" t="s">
        <v>746</v>
      </c>
      <c r="C104" s="404" t="s">
        <v>747</v>
      </c>
      <c r="D104" s="452" t="s">
        <v>467</v>
      </c>
    </row>
    <row r="105" spans="2:4" x14ac:dyDescent="0.3">
      <c r="B105" s="613" t="s">
        <v>1231</v>
      </c>
      <c r="C105" s="404" t="s">
        <v>762</v>
      </c>
      <c r="D105" s="452" t="s">
        <v>467</v>
      </c>
    </row>
    <row r="106" spans="2:4" x14ac:dyDescent="0.3">
      <c r="B106" s="613" t="s">
        <v>1232</v>
      </c>
      <c r="C106" s="430" t="s">
        <v>776</v>
      </c>
      <c r="D106" s="452" t="s">
        <v>467</v>
      </c>
    </row>
    <row r="107" spans="2:4" x14ac:dyDescent="0.3">
      <c r="B107" s="613" t="s">
        <v>1233</v>
      </c>
      <c r="C107" s="404" t="s">
        <v>747</v>
      </c>
      <c r="D107" s="452" t="s">
        <v>467</v>
      </c>
    </row>
    <row r="108" spans="2:4" x14ac:dyDescent="0.3">
      <c r="B108" s="613" t="s">
        <v>1233</v>
      </c>
      <c r="C108" s="404" t="s">
        <v>762</v>
      </c>
      <c r="D108" s="452" t="s">
        <v>467</v>
      </c>
    </row>
    <row r="109" spans="2:4" x14ac:dyDescent="0.3">
      <c r="B109" s="613" t="s">
        <v>1234</v>
      </c>
      <c r="C109" s="404" t="s">
        <v>756</v>
      </c>
      <c r="D109" s="452" t="s">
        <v>467</v>
      </c>
    </row>
    <row r="110" spans="2:4" x14ac:dyDescent="0.3">
      <c r="B110" s="613" t="s">
        <v>1235</v>
      </c>
      <c r="C110" s="404" t="s">
        <v>756</v>
      </c>
      <c r="D110" s="452" t="s">
        <v>467</v>
      </c>
    </row>
    <row r="111" spans="2:4" x14ac:dyDescent="0.3">
      <c r="B111" s="613" t="s">
        <v>1236</v>
      </c>
      <c r="C111" s="404" t="s">
        <v>756</v>
      </c>
      <c r="D111" s="452" t="s">
        <v>467</v>
      </c>
    </row>
    <row r="112" spans="2:4" x14ac:dyDescent="0.3">
      <c r="B112" s="613" t="s">
        <v>1237</v>
      </c>
      <c r="C112" s="404" t="s">
        <v>756</v>
      </c>
      <c r="D112" s="452" t="s">
        <v>467</v>
      </c>
    </row>
    <row r="113" spans="2:4" x14ac:dyDescent="0.3">
      <c r="B113" s="613" t="s">
        <v>1238</v>
      </c>
      <c r="C113" s="404" t="s">
        <v>756</v>
      </c>
      <c r="D113" s="452" t="s">
        <v>467</v>
      </c>
    </row>
    <row r="114" spans="2:4" x14ac:dyDescent="0.3">
      <c r="B114" s="613" t="s">
        <v>1239</v>
      </c>
      <c r="C114" s="404" t="s">
        <v>1240</v>
      </c>
      <c r="D114" s="452" t="s">
        <v>467</v>
      </c>
    </row>
    <row r="115" spans="2:4" x14ac:dyDescent="0.3">
      <c r="B115" s="613" t="s">
        <v>1241</v>
      </c>
      <c r="C115" s="404" t="s">
        <v>1240</v>
      </c>
      <c r="D115" s="452" t="s">
        <v>467</v>
      </c>
    </row>
    <row r="116" spans="2:4" x14ac:dyDescent="0.3">
      <c r="B116" s="613" t="s">
        <v>1242</v>
      </c>
      <c r="C116" s="404" t="s">
        <v>1240</v>
      </c>
      <c r="D116" s="452" t="s">
        <v>467</v>
      </c>
    </row>
    <row r="117" spans="2:4" x14ac:dyDescent="0.3">
      <c r="B117" s="613" t="s">
        <v>1243</v>
      </c>
      <c r="C117" s="404" t="s">
        <v>751</v>
      </c>
      <c r="D117" s="452" t="s">
        <v>467</v>
      </c>
    </row>
    <row r="118" spans="2:4" x14ac:dyDescent="0.3">
      <c r="B118" s="613" t="s">
        <v>1244</v>
      </c>
      <c r="C118" s="404" t="s">
        <v>756</v>
      </c>
      <c r="D118" s="452" t="s">
        <v>467</v>
      </c>
    </row>
    <row r="119" spans="2:4" x14ac:dyDescent="0.3">
      <c r="B119" s="613" t="s">
        <v>1245</v>
      </c>
      <c r="C119" s="404" t="s">
        <v>756</v>
      </c>
      <c r="D119" s="452" t="s">
        <v>467</v>
      </c>
    </row>
    <row r="120" spans="2:4" x14ac:dyDescent="0.3">
      <c r="B120" s="613" t="s">
        <v>1245</v>
      </c>
      <c r="C120" s="430" t="s">
        <v>773</v>
      </c>
      <c r="D120" s="615" t="s">
        <v>213</v>
      </c>
    </row>
    <row r="121" spans="2:4" x14ac:dyDescent="0.3">
      <c r="B121" s="613" t="s">
        <v>1246</v>
      </c>
      <c r="C121" s="404" t="s">
        <v>1247</v>
      </c>
      <c r="D121" s="462"/>
    </row>
    <row r="122" spans="2:4" x14ac:dyDescent="0.3">
      <c r="B122" s="613" t="s">
        <v>1248</v>
      </c>
      <c r="C122" s="430" t="s">
        <v>773</v>
      </c>
      <c r="D122" s="615" t="s">
        <v>213</v>
      </c>
    </row>
    <row r="123" spans="2:4" x14ac:dyDescent="0.3">
      <c r="B123" s="613" t="s">
        <v>1249</v>
      </c>
      <c r="C123" s="404" t="s">
        <v>666</v>
      </c>
      <c r="D123" s="452" t="s">
        <v>213</v>
      </c>
    </row>
    <row r="124" spans="2:4" x14ac:dyDescent="0.3">
      <c r="B124" s="613" t="s">
        <v>1250</v>
      </c>
      <c r="C124" s="430" t="s">
        <v>679</v>
      </c>
      <c r="D124" s="452" t="s">
        <v>70</v>
      </c>
    </row>
    <row r="125" spans="2:4" x14ac:dyDescent="0.3">
      <c r="B125" s="613" t="s">
        <v>1251</v>
      </c>
      <c r="C125" s="404" t="s">
        <v>666</v>
      </c>
      <c r="D125" s="452" t="s">
        <v>213</v>
      </c>
    </row>
    <row r="126" spans="2:4" x14ac:dyDescent="0.3">
      <c r="B126" s="613" t="s">
        <v>1252</v>
      </c>
      <c r="C126" s="430" t="s">
        <v>679</v>
      </c>
      <c r="D126" s="452" t="s">
        <v>70</v>
      </c>
    </row>
    <row r="127" spans="2:4" x14ac:dyDescent="0.3">
      <c r="B127" s="613" t="s">
        <v>1253</v>
      </c>
      <c r="C127" s="404" t="s">
        <v>666</v>
      </c>
      <c r="D127" s="452" t="s">
        <v>213</v>
      </c>
    </row>
    <row r="128" spans="2:4" x14ac:dyDescent="0.3">
      <c r="B128" s="613" t="s">
        <v>1254</v>
      </c>
      <c r="C128" s="404" t="s">
        <v>666</v>
      </c>
      <c r="D128" s="452" t="s">
        <v>213</v>
      </c>
    </row>
    <row r="129" spans="2:4" x14ac:dyDescent="0.3">
      <c r="B129" s="613" t="s">
        <v>1255</v>
      </c>
      <c r="C129" s="404" t="s">
        <v>666</v>
      </c>
      <c r="D129" s="452" t="s">
        <v>213</v>
      </c>
    </row>
    <row r="130" spans="2:4" x14ac:dyDescent="0.3">
      <c r="B130" s="613" t="s">
        <v>1256</v>
      </c>
      <c r="C130" s="404" t="s">
        <v>666</v>
      </c>
      <c r="D130" s="452" t="s">
        <v>213</v>
      </c>
    </row>
    <row r="131" spans="2:4" x14ac:dyDescent="0.3">
      <c r="B131" s="613" t="s">
        <v>1257</v>
      </c>
      <c r="C131" s="404" t="s">
        <v>666</v>
      </c>
      <c r="D131" s="452" t="s">
        <v>213</v>
      </c>
    </row>
    <row r="132" spans="2:4" x14ac:dyDescent="0.3">
      <c r="B132" s="613" t="s">
        <v>670</v>
      </c>
      <c r="C132" s="404" t="s">
        <v>671</v>
      </c>
      <c r="D132" s="452" t="s">
        <v>467</v>
      </c>
    </row>
    <row r="133" spans="2:4" x14ac:dyDescent="0.3">
      <c r="B133" s="613" t="s">
        <v>1258</v>
      </c>
      <c r="C133" s="404" t="s">
        <v>679</v>
      </c>
      <c r="D133" s="452" t="s">
        <v>70</v>
      </c>
    </row>
    <row r="134" spans="2:4" x14ac:dyDescent="0.3">
      <c r="B134" s="613" t="s">
        <v>1259</v>
      </c>
      <c r="C134" s="404" t="s">
        <v>679</v>
      </c>
      <c r="D134" s="452" t="s">
        <v>70</v>
      </c>
    </row>
    <row r="135" spans="2:4" x14ac:dyDescent="0.3">
      <c r="B135" s="613" t="s">
        <v>1260</v>
      </c>
      <c r="C135" s="404" t="s">
        <v>679</v>
      </c>
      <c r="D135" s="452" t="s">
        <v>70</v>
      </c>
    </row>
    <row r="136" spans="2:4" x14ac:dyDescent="0.3">
      <c r="B136" s="613" t="s">
        <v>1261</v>
      </c>
      <c r="C136" s="404" t="s">
        <v>679</v>
      </c>
      <c r="D136" s="452" t="s">
        <v>70</v>
      </c>
    </row>
    <row r="137" spans="2:4" x14ac:dyDescent="0.3">
      <c r="B137" s="613" t="s">
        <v>1261</v>
      </c>
      <c r="C137" s="404" t="s">
        <v>679</v>
      </c>
      <c r="D137" s="452" t="s">
        <v>70</v>
      </c>
    </row>
    <row r="138" spans="2:4" x14ac:dyDescent="0.3">
      <c r="B138" s="613" t="s">
        <v>1261</v>
      </c>
      <c r="C138" s="404" t="s">
        <v>679</v>
      </c>
      <c r="D138" s="452" t="s">
        <v>70</v>
      </c>
    </row>
    <row r="139" spans="2:4" x14ac:dyDescent="0.3">
      <c r="B139" s="613" t="s">
        <v>1261</v>
      </c>
      <c r="C139" s="404" t="s">
        <v>679</v>
      </c>
      <c r="D139" s="452" t="s">
        <v>70</v>
      </c>
    </row>
    <row r="140" spans="2:4" x14ac:dyDescent="0.3">
      <c r="B140" s="613" t="s">
        <v>1261</v>
      </c>
      <c r="C140" s="404" t="s">
        <v>679</v>
      </c>
      <c r="D140" s="452" t="s">
        <v>70</v>
      </c>
    </row>
    <row r="141" spans="2:4" x14ac:dyDescent="0.3">
      <c r="B141" s="613" t="s">
        <v>1261</v>
      </c>
      <c r="C141" s="404" t="s">
        <v>679</v>
      </c>
      <c r="D141" s="452" t="s">
        <v>70</v>
      </c>
    </row>
    <row r="142" spans="2:4" x14ac:dyDescent="0.3">
      <c r="B142" s="613" t="s">
        <v>1262</v>
      </c>
      <c r="C142" s="404" t="s">
        <v>1263</v>
      </c>
      <c r="D142" s="452" t="s">
        <v>216</v>
      </c>
    </row>
    <row r="143" spans="2:4" x14ac:dyDescent="0.3">
      <c r="B143" s="613" t="s">
        <v>1264</v>
      </c>
      <c r="C143" s="404" t="s">
        <v>1263</v>
      </c>
      <c r="D143" s="452" t="s">
        <v>216</v>
      </c>
    </row>
    <row r="144" spans="2:4" x14ac:dyDescent="0.3">
      <c r="B144" s="613" t="s">
        <v>1265</v>
      </c>
      <c r="C144" s="404" t="s">
        <v>1263</v>
      </c>
      <c r="D144" s="452" t="s">
        <v>216</v>
      </c>
    </row>
    <row r="145" spans="2:4" x14ac:dyDescent="0.3">
      <c r="B145" s="613" t="s">
        <v>1266</v>
      </c>
      <c r="C145" s="404" t="s">
        <v>684</v>
      </c>
      <c r="D145" s="452" t="s">
        <v>486</v>
      </c>
    </row>
    <row r="146" spans="2:4" x14ac:dyDescent="0.3">
      <c r="B146" s="613" t="s">
        <v>1267</v>
      </c>
      <c r="C146" s="404" t="s">
        <v>484</v>
      </c>
      <c r="D146" s="452" t="s">
        <v>216</v>
      </c>
    </row>
    <row r="147" spans="2:4" ht="36.6" customHeight="1" x14ac:dyDescent="0.3">
      <c r="B147" s="613" t="s">
        <v>1268</v>
      </c>
      <c r="C147" s="382" t="s">
        <v>1269</v>
      </c>
      <c r="D147" s="452" t="s">
        <v>216</v>
      </c>
    </row>
    <row r="148" spans="2:4" x14ac:dyDescent="0.3">
      <c r="B148" s="613" t="s">
        <v>1270</v>
      </c>
      <c r="C148" s="404" t="s">
        <v>538</v>
      </c>
      <c r="D148" s="452" t="s">
        <v>216</v>
      </c>
    </row>
    <row r="149" spans="2:4" x14ac:dyDescent="0.3">
      <c r="B149" s="613" t="s">
        <v>1271</v>
      </c>
      <c r="C149" s="430" t="s">
        <v>989</v>
      </c>
      <c r="D149" s="452" t="s">
        <v>216</v>
      </c>
    </row>
    <row r="150" spans="2:4" x14ac:dyDescent="0.3">
      <c r="B150" s="613" t="s">
        <v>712</v>
      </c>
      <c r="C150" s="404" t="s">
        <v>713</v>
      </c>
      <c r="D150" s="452" t="s">
        <v>216</v>
      </c>
    </row>
    <row r="151" spans="2:4" x14ac:dyDescent="0.3">
      <c r="B151" s="613" t="s">
        <v>1272</v>
      </c>
      <c r="C151" s="404" t="s">
        <v>692</v>
      </c>
      <c r="D151" s="452" t="s">
        <v>486</v>
      </c>
    </row>
    <row r="152" spans="2:4" x14ac:dyDescent="0.3">
      <c r="B152" s="613" t="s">
        <v>1273</v>
      </c>
      <c r="C152" s="404" t="s">
        <v>692</v>
      </c>
      <c r="D152" s="452" t="s">
        <v>486</v>
      </c>
    </row>
    <row r="153" spans="2:4" x14ac:dyDescent="0.3">
      <c r="B153" s="613" t="s">
        <v>1274</v>
      </c>
      <c r="C153" s="404" t="s">
        <v>697</v>
      </c>
      <c r="D153" s="452" t="s">
        <v>486</v>
      </c>
    </row>
    <row r="154" spans="2:4" x14ac:dyDescent="0.3">
      <c r="B154" s="613" t="s">
        <v>1275</v>
      </c>
      <c r="C154" s="404" t="s">
        <v>697</v>
      </c>
      <c r="D154" s="452" t="s">
        <v>486</v>
      </c>
    </row>
    <row r="155" spans="2:4" x14ac:dyDescent="0.3">
      <c r="B155" s="613" t="s">
        <v>1276</v>
      </c>
      <c r="C155" s="404" t="s">
        <v>697</v>
      </c>
      <c r="D155" s="452" t="s">
        <v>486</v>
      </c>
    </row>
    <row r="156" spans="2:4" x14ac:dyDescent="0.3">
      <c r="B156" s="613" t="s">
        <v>1277</v>
      </c>
      <c r="C156" s="404" t="s">
        <v>697</v>
      </c>
      <c r="D156" s="452" t="s">
        <v>486</v>
      </c>
    </row>
    <row r="157" spans="2:4" x14ac:dyDescent="0.3">
      <c r="B157" s="613" t="s">
        <v>734</v>
      </c>
      <c r="C157" s="404" t="s">
        <v>732</v>
      </c>
      <c r="D157" s="452" t="s">
        <v>216</v>
      </c>
    </row>
    <row r="158" spans="2:4" ht="15" thickBot="1" x14ac:dyDescent="0.35">
      <c r="B158" s="616" t="s">
        <v>734</v>
      </c>
      <c r="C158" s="388" t="s">
        <v>735</v>
      </c>
      <c r="D158" s="442" t="s">
        <v>216</v>
      </c>
    </row>
    <row r="159" spans="2:4" x14ac:dyDescent="0.3"/>
    <row r="160" spans="2:4" x14ac:dyDescent="0.3"/>
    <row r="161" spans="2:2" x14ac:dyDescent="0.3"/>
    <row r="162" spans="2:2" x14ac:dyDescent="0.3"/>
    <row r="163" spans="2:2" x14ac:dyDescent="0.3">
      <c r="B163" s="250"/>
    </row>
    <row r="164" spans="2:2" x14ac:dyDescent="0.3">
      <c r="B164" s="250"/>
    </row>
    <row r="165" spans="2:2" x14ac:dyDescent="0.3">
      <c r="B165" s="250"/>
    </row>
    <row r="166" spans="2:2" x14ac:dyDescent="0.3">
      <c r="B166" s="250"/>
    </row>
    <row r="167" spans="2:2" x14ac:dyDescent="0.3">
      <c r="B167" s="250"/>
    </row>
    <row r="168" spans="2:2" x14ac:dyDescent="0.3">
      <c r="B168" s="250"/>
    </row>
    <row r="169" spans="2:2" hidden="1" x14ac:dyDescent="0.3">
      <c r="B169" s="250"/>
    </row>
    <row r="170" spans="2:2" hidden="1" x14ac:dyDescent="0.3">
      <c r="B170" s="250"/>
    </row>
    <row r="171" spans="2:2" hidden="1" x14ac:dyDescent="0.3">
      <c r="B171" s="250"/>
    </row>
    <row r="172" spans="2:2" hidden="1" x14ac:dyDescent="0.3">
      <c r="B172" s="250"/>
    </row>
    <row r="173" spans="2:2" hidden="1" x14ac:dyDescent="0.3">
      <c r="B173" s="250"/>
    </row>
    <row r="174" spans="2:2" hidden="1" x14ac:dyDescent="0.3">
      <c r="B174" s="250"/>
    </row>
    <row r="175" spans="2:2" hidden="1" x14ac:dyDescent="0.3">
      <c r="B175" s="250"/>
    </row>
    <row r="176" spans="2:2" hidden="1" x14ac:dyDescent="0.3">
      <c r="B176" s="250"/>
    </row>
    <row r="177" spans="2:2" hidden="1" x14ac:dyDescent="0.3">
      <c r="B177" s="250"/>
    </row>
    <row r="178" spans="2:2" hidden="1" x14ac:dyDescent="0.3">
      <c r="B178" s="250"/>
    </row>
    <row r="179" spans="2:2" hidden="1" x14ac:dyDescent="0.3">
      <c r="B179" s="250"/>
    </row>
    <row r="180" spans="2:2" hidden="1" x14ac:dyDescent="0.3">
      <c r="B180" s="250"/>
    </row>
    <row r="181" spans="2:2" hidden="1" x14ac:dyDescent="0.3">
      <c r="B181" s="250"/>
    </row>
    <row r="182" spans="2:2" hidden="1" x14ac:dyDescent="0.3">
      <c r="B182" s="250"/>
    </row>
    <row r="183" spans="2:2" hidden="1" x14ac:dyDescent="0.3">
      <c r="B183" s="250"/>
    </row>
    <row r="184" spans="2:2" hidden="1" x14ac:dyDescent="0.3">
      <c r="B184" s="250"/>
    </row>
    <row r="185" spans="2:2" hidden="1" x14ac:dyDescent="0.3">
      <c r="B185" s="250"/>
    </row>
    <row r="186" spans="2:2" hidden="1" x14ac:dyDescent="0.3">
      <c r="B186" s="250"/>
    </row>
    <row r="187" spans="2:2" hidden="1" x14ac:dyDescent="0.3">
      <c r="B187" s="250"/>
    </row>
    <row r="188" spans="2:2" hidden="1" x14ac:dyDescent="0.3">
      <c r="B188" s="250"/>
    </row>
    <row r="189" spans="2:2" hidden="1" x14ac:dyDescent="0.3">
      <c r="B189" s="250"/>
    </row>
    <row r="190" spans="2:2" hidden="1" x14ac:dyDescent="0.3">
      <c r="B190" s="250"/>
    </row>
    <row r="191" spans="2:2" hidden="1" x14ac:dyDescent="0.3">
      <c r="B191" s="250"/>
    </row>
    <row r="192" spans="2:2" hidden="1" x14ac:dyDescent="0.3">
      <c r="B192" s="250"/>
    </row>
    <row r="193" spans="2:2" hidden="1" x14ac:dyDescent="0.3">
      <c r="B193" s="250"/>
    </row>
    <row r="194" spans="2:2" hidden="1" x14ac:dyDescent="0.3">
      <c r="B194" s="250"/>
    </row>
    <row r="195" spans="2:2" hidden="1" x14ac:dyDescent="0.3">
      <c r="B195" s="250"/>
    </row>
    <row r="196" spans="2:2" hidden="1" x14ac:dyDescent="0.3">
      <c r="B196" s="250"/>
    </row>
    <row r="197" spans="2:2" hidden="1" x14ac:dyDescent="0.3">
      <c r="B197" s="250"/>
    </row>
    <row r="198" spans="2:2" hidden="1" x14ac:dyDescent="0.3">
      <c r="B198" s="250"/>
    </row>
    <row r="199" spans="2:2" hidden="1" x14ac:dyDescent="0.3">
      <c r="B199" s="250"/>
    </row>
    <row r="200" spans="2:2" hidden="1" x14ac:dyDescent="0.3">
      <c r="B200" s="250"/>
    </row>
    <row r="201" spans="2:2" hidden="1" x14ac:dyDescent="0.3">
      <c r="B201" s="250"/>
    </row>
    <row r="202" spans="2:2" hidden="1" x14ac:dyDescent="0.3">
      <c r="B202" s="250"/>
    </row>
    <row r="203" spans="2:2" hidden="1" x14ac:dyDescent="0.3">
      <c r="B203" s="250"/>
    </row>
    <row r="204" spans="2:2" hidden="1" x14ac:dyDescent="0.3">
      <c r="B204" s="250"/>
    </row>
    <row r="205" spans="2:2" hidden="1" x14ac:dyDescent="0.3">
      <c r="B205" s="250"/>
    </row>
    <row r="206" spans="2:2" hidden="1" x14ac:dyDescent="0.3">
      <c r="B206" s="250"/>
    </row>
    <row r="207" spans="2:2" hidden="1" x14ac:dyDescent="0.3">
      <c r="B207" s="250"/>
    </row>
    <row r="208" spans="2:2" hidden="1" x14ac:dyDescent="0.3">
      <c r="B208" s="250"/>
    </row>
    <row r="209" spans="2:2" hidden="1" x14ac:dyDescent="0.3">
      <c r="B209" s="250"/>
    </row>
    <row r="210" spans="2:2" hidden="1" x14ac:dyDescent="0.3">
      <c r="B210" s="250"/>
    </row>
    <row r="211" spans="2:2" hidden="1" x14ac:dyDescent="0.3">
      <c r="B211" s="250"/>
    </row>
    <row r="212" spans="2:2" hidden="1" x14ac:dyDescent="0.3">
      <c r="B212" s="250"/>
    </row>
    <row r="213" spans="2:2" hidden="1" x14ac:dyDescent="0.3">
      <c r="B213" s="250"/>
    </row>
    <row r="214" spans="2:2" hidden="1" x14ac:dyDescent="0.3">
      <c r="B214" s="250"/>
    </row>
    <row r="215" spans="2:2" hidden="1" x14ac:dyDescent="0.3">
      <c r="B215" s="250"/>
    </row>
    <row r="216" spans="2:2" hidden="1" x14ac:dyDescent="0.3">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topLeftCell="A7" zoomScale="80" zoomScaleNormal="80" workbookViewId="0"/>
  </sheetViews>
  <sheetFormatPr defaultColWidth="9.21875" defaultRowHeight="14.55" customHeight="1" zeroHeight="1" x14ac:dyDescent="0.3"/>
  <cols>
    <col min="1" max="3" width="2.21875" style="9" customWidth="1"/>
    <col min="4" max="4" width="18.77734375" style="9" customWidth="1"/>
    <col min="5" max="8" width="9.21875" style="9" customWidth="1"/>
    <col min="9" max="9" width="7" style="9" customWidth="1"/>
    <col min="10" max="12" width="9.21875" style="9" customWidth="1"/>
    <col min="13" max="13" width="12.21875" style="9" customWidth="1"/>
    <col min="14" max="14" width="5.77734375" style="9" customWidth="1"/>
    <col min="15" max="15" width="9.21875" style="9" customWidth="1"/>
    <col min="16" max="16" width="34.5546875" style="9" customWidth="1"/>
    <col min="17" max="17" width="13.77734375" style="9" bestFit="1" customWidth="1"/>
    <col min="18" max="18" width="19.21875" style="9" customWidth="1"/>
    <col min="19" max="20" width="9.21875" style="9" customWidth="1"/>
    <col min="21" max="16384" width="9.21875" style="9"/>
  </cols>
  <sheetData>
    <row r="1" spans="1:18" ht="15.75" customHeight="1" x14ac:dyDescent="0.6">
      <c r="B1" s="16"/>
      <c r="C1" s="16"/>
      <c r="E1" s="17"/>
      <c r="F1" s="981"/>
      <c r="G1" s="981"/>
      <c r="H1" s="981"/>
      <c r="I1" s="981"/>
      <c r="J1" s="981"/>
      <c r="K1" s="982"/>
      <c r="L1" s="982"/>
      <c r="M1" s="982"/>
      <c r="N1" s="982"/>
      <c r="O1" s="982"/>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687"/>
      <c r="E10" s="1687"/>
      <c r="F10" s="1687"/>
      <c r="G10" s="1687"/>
      <c r="H10" s="1687"/>
      <c r="I10" s="1687"/>
      <c r="J10" s="1687"/>
      <c r="K10" s="1687"/>
      <c r="L10" s="1687"/>
      <c r="M10" s="1687"/>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4.4" x14ac:dyDescent="0.3"/>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21875" defaultRowHeight="14.4" x14ac:dyDescent="0.3"/>
  <cols>
    <col min="1" max="1" width="41.21875" style="220" customWidth="1"/>
    <col min="2" max="2" width="56.44140625" style="220" bestFit="1" customWidth="1"/>
    <col min="3" max="3" width="9.21875" style="220"/>
    <col min="4" max="4" width="55.5546875" style="220" customWidth="1"/>
    <col min="5" max="16384" width="9.21875" style="220"/>
  </cols>
  <sheetData>
    <row r="1" spans="1:4" s="221" customFormat="1" x14ac:dyDescent="0.3">
      <c r="A1" s="252" t="s">
        <v>1278</v>
      </c>
      <c r="B1" s="253" t="s">
        <v>1279</v>
      </c>
      <c r="D1" s="225" t="s">
        <v>1280</v>
      </c>
    </row>
    <row r="2" spans="1:4" x14ac:dyDescent="0.3">
      <c r="A2" s="496" t="s">
        <v>1281</v>
      </c>
      <c r="B2" s="497" t="s">
        <v>1282</v>
      </c>
      <c r="D2" s="496" t="str">
        <f>'G-1 All Habitats'!B3</f>
        <v>Cropland - Arable field margins cultivated annually</v>
      </c>
    </row>
    <row r="3" spans="1:4" x14ac:dyDescent="0.3">
      <c r="A3" s="496" t="s">
        <v>1283</v>
      </c>
      <c r="B3" s="497" t="s">
        <v>1284</v>
      </c>
      <c r="D3" s="496" t="str">
        <f>'G-1 All Habitats'!B4</f>
        <v>Cropland - Arable field margins game bird mix</v>
      </c>
    </row>
    <row r="4" spans="1:4" x14ac:dyDescent="0.3">
      <c r="A4" s="496" t="s">
        <v>1285</v>
      </c>
      <c r="B4" s="497" t="s">
        <v>1286</v>
      </c>
      <c r="D4" s="496" t="str">
        <f>'G-1 All Habitats'!B5</f>
        <v>Cropland - Arable field margins pollen and nectar</v>
      </c>
    </row>
    <row r="5" spans="1:4" x14ac:dyDescent="0.3">
      <c r="A5" s="496" t="s">
        <v>1287</v>
      </c>
      <c r="B5" s="497" t="s">
        <v>1288</v>
      </c>
      <c r="D5" s="496" t="str">
        <f>'G-1 All Habitats'!B6</f>
        <v>Cropland - Arable field margins tussocky</v>
      </c>
    </row>
    <row r="6" spans="1:4" x14ac:dyDescent="0.3">
      <c r="A6" s="496" t="s">
        <v>1289</v>
      </c>
      <c r="B6" s="497" t="s">
        <v>1290</v>
      </c>
      <c r="D6" s="496" t="str">
        <f>'G-1 All Habitats'!B7</f>
        <v>Cropland - Cereal crops</v>
      </c>
    </row>
    <row r="7" spans="1:4" x14ac:dyDescent="0.3">
      <c r="A7" s="496" t="s">
        <v>1291</v>
      </c>
      <c r="B7" s="497" t="s">
        <v>1292</v>
      </c>
      <c r="D7" s="496" t="str">
        <f>'G-1 All Habitats'!B8</f>
        <v>Cropland - Winter stubble</v>
      </c>
    </row>
    <row r="8" spans="1:4" x14ac:dyDescent="0.3">
      <c r="A8" s="496" t="s">
        <v>1293</v>
      </c>
      <c r="B8" s="497" t="s">
        <v>1294</v>
      </c>
      <c r="D8" s="496" t="str">
        <f>'G-1 All Habitats'!B9</f>
        <v>Cropland - Horticulture</v>
      </c>
    </row>
    <row r="9" spans="1:4" x14ac:dyDescent="0.3">
      <c r="A9" s="496" t="s">
        <v>1295</v>
      </c>
      <c r="B9" s="497" t="s">
        <v>1296</v>
      </c>
      <c r="D9" s="496" t="str">
        <f>'G-1 All Habitats'!B10</f>
        <v>Cropland - Intensive orchards</v>
      </c>
    </row>
    <row r="10" spans="1:4" x14ac:dyDescent="0.3">
      <c r="A10" s="496" t="s">
        <v>1297</v>
      </c>
      <c r="B10" s="497" t="s">
        <v>1298</v>
      </c>
      <c r="D10" s="496" t="str">
        <f>'G-1 All Habitats'!B11</f>
        <v>Cropland - Non-cereal crops</v>
      </c>
    </row>
    <row r="11" spans="1:4" x14ac:dyDescent="0.3">
      <c r="A11" s="496" t="s">
        <v>1299</v>
      </c>
      <c r="B11" s="497" t="s">
        <v>1300</v>
      </c>
      <c r="D11" s="496" t="str">
        <f>'G-1 All Habitats'!B12</f>
        <v>Cropland - Temporary grass and clover leys</v>
      </c>
    </row>
    <row r="12" spans="1:4" x14ac:dyDescent="0.3">
      <c r="A12" s="496" t="s">
        <v>1301</v>
      </c>
      <c r="B12" s="497" t="s">
        <v>1302</v>
      </c>
      <c r="D12" s="496" t="str">
        <f>'G-1 All Habitats'!B13</f>
        <v>Grassland - Traditional orchards</v>
      </c>
    </row>
    <row r="13" spans="1:4" x14ac:dyDescent="0.3">
      <c r="A13" s="496" t="s">
        <v>1303</v>
      </c>
      <c r="B13" s="497" t="s">
        <v>1304</v>
      </c>
      <c r="D13" s="496" t="str">
        <f>'G-1 All Habitats'!B14</f>
        <v>Grassland - Bracken</v>
      </c>
    </row>
    <row r="14" spans="1:4" x14ac:dyDescent="0.3">
      <c r="A14" s="496" t="s">
        <v>1305</v>
      </c>
      <c r="B14" s="497" t="s">
        <v>1306</v>
      </c>
      <c r="D14" s="496" t="str">
        <f>'G-1 All Habitats'!B15</f>
        <v>Grassland - Floodplain wetland mosaic and CFGM</v>
      </c>
    </row>
    <row r="15" spans="1:4" x14ac:dyDescent="0.3">
      <c r="A15" s="496" t="s">
        <v>1307</v>
      </c>
      <c r="B15" s="497" t="s">
        <v>1308</v>
      </c>
      <c r="D15" s="496" t="str">
        <f>'G-1 All Habitats'!B16</f>
        <v>Grassland - Lowland calcareous grassland</v>
      </c>
    </row>
    <row r="16" spans="1:4" x14ac:dyDescent="0.3">
      <c r="A16" s="496" t="s">
        <v>1309</v>
      </c>
      <c r="B16" s="497" t="s">
        <v>1310</v>
      </c>
      <c r="D16" s="496" t="str">
        <f>'G-1 All Habitats'!B17</f>
        <v>Grassland - Lowland dry acid grassland</v>
      </c>
    </row>
    <row r="17" spans="1:4" x14ac:dyDescent="0.3">
      <c r="A17" s="496" t="s">
        <v>1311</v>
      </c>
      <c r="D17" s="496" t="str">
        <f>'G-1 All Habitats'!B18</f>
        <v>Grassland - Lowland meadows</v>
      </c>
    </row>
    <row r="18" spans="1:4" x14ac:dyDescent="0.3">
      <c r="A18" s="496" t="s">
        <v>1312</v>
      </c>
      <c r="D18" s="496" t="str">
        <f>'G-1 All Habitats'!B19</f>
        <v>Grassland - Modified grassland</v>
      </c>
    </row>
    <row r="19" spans="1:4" x14ac:dyDescent="0.3">
      <c r="A19" s="496" t="s">
        <v>1313</v>
      </c>
      <c r="D19" s="496" t="str">
        <f>'G-1 All Habitats'!B20</f>
        <v>Grassland - Other lowland acid grassland</v>
      </c>
    </row>
    <row r="20" spans="1:4" x14ac:dyDescent="0.3">
      <c r="A20" s="496" t="s">
        <v>1314</v>
      </c>
      <c r="D20" s="496" t="str">
        <f>'G-1 All Habitats'!B21</f>
        <v>Grassland - Other neutral grassland</v>
      </c>
    </row>
    <row r="21" spans="1:4" x14ac:dyDescent="0.3">
      <c r="A21" s="496" t="s">
        <v>1315</v>
      </c>
      <c r="D21" s="496" t="str">
        <f>'G-1 All Habitats'!B22</f>
        <v>Grassland - Tall herb communities (H6430)</v>
      </c>
    </row>
    <row r="22" spans="1:4" x14ac:dyDescent="0.3">
      <c r="A22" s="496" t="s">
        <v>1316</v>
      </c>
      <c r="D22" s="496" t="str">
        <f>'G-1 All Habitats'!B23</f>
        <v>Grassland - Upland acid grassland</v>
      </c>
    </row>
    <row r="23" spans="1:4" x14ac:dyDescent="0.3">
      <c r="A23" s="496" t="s">
        <v>1317</v>
      </c>
      <c r="D23" s="496" t="str">
        <f>'G-1 All Habitats'!B24</f>
        <v>Grassland - Upland calcareous grassland</v>
      </c>
    </row>
    <row r="24" spans="1:4" x14ac:dyDescent="0.3">
      <c r="A24" s="496" t="s">
        <v>1318</v>
      </c>
      <c r="D24" s="496" t="str">
        <f>'G-1 All Habitats'!B25</f>
        <v>Grassland - Upland hay meadows</v>
      </c>
    </row>
    <row r="25" spans="1:4" x14ac:dyDescent="0.3">
      <c r="A25" s="496" t="s">
        <v>1319</v>
      </c>
      <c r="D25" s="496" t="str">
        <f>'G-1 All Habitats'!B26</f>
        <v>Heathland and shrub - Blackthorn scrub</v>
      </c>
    </row>
    <row r="26" spans="1:4" x14ac:dyDescent="0.3">
      <c r="A26" s="496" t="s">
        <v>1320</v>
      </c>
      <c r="D26" s="496" t="str">
        <f>'G-1 All Habitats'!B27</f>
        <v>Heathland and shrub - Bramble scrub</v>
      </c>
    </row>
    <row r="27" spans="1:4" x14ac:dyDescent="0.3">
      <c r="A27" s="496" t="s">
        <v>1321</v>
      </c>
      <c r="D27" s="496" t="str">
        <f>'G-1 All Habitats'!B28</f>
        <v>Heathland and shrub - Gorse scrub</v>
      </c>
    </row>
    <row r="28" spans="1:4" x14ac:dyDescent="0.3">
      <c r="A28" s="496" t="s">
        <v>1322</v>
      </c>
      <c r="D28" s="496" t="str">
        <f>'G-1 All Habitats'!B29</f>
        <v>Heathland and shrub - Hawthorn scrub</v>
      </c>
    </row>
    <row r="29" spans="1:4" x14ac:dyDescent="0.3">
      <c r="A29" s="496" t="s">
        <v>1323</v>
      </c>
      <c r="D29" s="496" t="str">
        <f>'G-1 All Habitats'!B30</f>
        <v>Heathland and shrub - Hazel scrub</v>
      </c>
    </row>
    <row r="30" spans="1:4" x14ac:dyDescent="0.3">
      <c r="A30" s="496" t="s">
        <v>1324</v>
      </c>
      <c r="D30" s="496" t="str">
        <f>'G-1 All Habitats'!B31</f>
        <v>Heathland and shrub - Lowland heathland</v>
      </c>
    </row>
    <row r="31" spans="1:4" x14ac:dyDescent="0.3">
      <c r="A31" s="496" t="s">
        <v>1325</v>
      </c>
      <c r="D31" s="496" t="str">
        <f>'G-1 All Habitats'!B32</f>
        <v>Heathland and shrub - Mixed scrub</v>
      </c>
    </row>
    <row r="32" spans="1:4" x14ac:dyDescent="0.3">
      <c r="A32" s="496" t="s">
        <v>1326</v>
      </c>
      <c r="D32" s="496" t="str">
        <f>'G-1 All Habitats'!B33</f>
        <v>Heathland and shrub - Mountain heaths and willow scrub</v>
      </c>
    </row>
    <row r="33" spans="1:4" x14ac:dyDescent="0.3">
      <c r="A33" s="496" t="s">
        <v>1327</v>
      </c>
      <c r="D33" s="496" t="str">
        <f>'G-1 All Habitats'!B34</f>
        <v>Heathland and shrub - Rhododendron scrub</v>
      </c>
    </row>
    <row r="34" spans="1:4" x14ac:dyDescent="0.3">
      <c r="A34" s="496" t="s">
        <v>1328</v>
      </c>
      <c r="D34" s="496" t="str">
        <f>'G-1 All Habitats'!B35</f>
        <v>Heathland and shrub - Dunes with sea buckthorn (H2160)</v>
      </c>
    </row>
    <row r="35" spans="1:4" x14ac:dyDescent="0.3">
      <c r="A35" s="496" t="s">
        <v>1329</v>
      </c>
      <c r="D35" s="496" t="str">
        <f>'G-1 All Habitats'!B36</f>
        <v>Heathland and shrub - Other sea buckthorn scrub</v>
      </c>
    </row>
    <row r="36" spans="1:4" x14ac:dyDescent="0.3">
      <c r="A36" s="496" t="s">
        <v>1330</v>
      </c>
      <c r="D36" s="496" t="str">
        <f>'G-1 All Habitats'!B38</f>
        <v>Heathland and shrub - Upland heathland</v>
      </c>
    </row>
    <row r="37" spans="1:4" x14ac:dyDescent="0.3">
      <c r="A37" s="496" t="s">
        <v>1331</v>
      </c>
      <c r="D37" s="496" t="str">
        <f>'G-1 All Habitats'!B39</f>
        <v>Lakes - Aquifer fed naturally fluctuating water bodies</v>
      </c>
    </row>
    <row r="38" spans="1:4" x14ac:dyDescent="0.3">
      <c r="A38" s="496" t="s">
        <v>1332</v>
      </c>
      <c r="D38" s="496" t="str">
        <f>'G-1 All Habitats'!B41</f>
        <v>Lakes - High alkalinity lakes</v>
      </c>
    </row>
    <row r="39" spans="1:4" x14ac:dyDescent="0.3">
      <c r="A39" s="496" t="s">
        <v>1333</v>
      </c>
      <c r="D39" s="496" t="str">
        <f>'G-1 All Habitats'!B42</f>
        <v>Lakes - Low alkalinity lakes</v>
      </c>
    </row>
    <row r="40" spans="1:4" x14ac:dyDescent="0.3">
      <c r="A40" s="496" t="s">
        <v>1334</v>
      </c>
      <c r="D40" s="496" t="str">
        <f>'G-1 All Habitats'!B43</f>
        <v>Lakes - Marl lakes</v>
      </c>
    </row>
    <row r="41" spans="1:4" x14ac:dyDescent="0.3">
      <c r="A41" s="496" t="s">
        <v>1335</v>
      </c>
      <c r="D41" s="496" t="str">
        <f>'G-1 All Habitats'!B44</f>
        <v>Lakes - Moderate alkalinity lakes</v>
      </c>
    </row>
    <row r="42" spans="1:4" x14ac:dyDescent="0.3">
      <c r="A42" s="496" t="s">
        <v>1336</v>
      </c>
      <c r="D42" s="496" t="str">
        <f>'G-1 All Habitats'!B45</f>
        <v>Lakes - Peat lakes</v>
      </c>
    </row>
    <row r="43" spans="1:4" x14ac:dyDescent="0.3">
      <c r="A43" s="496" t="s">
        <v>1337</v>
      </c>
      <c r="D43" s="496" t="str">
        <f>'G-1 All Habitats'!B46</f>
        <v>Lakes - Ponds (priority habitat)</v>
      </c>
    </row>
    <row r="44" spans="1:4" x14ac:dyDescent="0.3">
      <c r="A44" s="496" t="s">
        <v>1338</v>
      </c>
      <c r="D44" s="496" t="str">
        <f>'G-1 All Habitats'!B47</f>
        <v>Lakes - Ponds (non-priority habitat)</v>
      </c>
    </row>
    <row r="45" spans="1:4" x14ac:dyDescent="0.3">
      <c r="A45" s="496" t="s">
        <v>1339</v>
      </c>
      <c r="D45" s="496" t="str">
        <f>'G-1 All Habitats'!B48</f>
        <v>Lakes - Reservoirs</v>
      </c>
    </row>
    <row r="46" spans="1:4" x14ac:dyDescent="0.3">
      <c r="A46" s="496" t="s">
        <v>1340</v>
      </c>
      <c r="D46" s="496" t="str">
        <f>'G-1 All Habitats'!B49</f>
        <v>Lakes - Temporary lakes ponds and pools (H3170)</v>
      </c>
    </row>
    <row r="47" spans="1:4" x14ac:dyDescent="0.3">
      <c r="A47" s="496" t="s">
        <v>1341</v>
      </c>
      <c r="D47" s="496" t="str">
        <f>'G-1 All Habitats'!B50</f>
        <v>Sparsely vegetated land - Calaminarian grasslands</v>
      </c>
    </row>
    <row r="48" spans="1:4" x14ac:dyDescent="0.3">
      <c r="A48" s="496" t="s">
        <v>1342</v>
      </c>
      <c r="D48" s="496" t="str">
        <f>'G-1 All Habitats'!B51</f>
        <v>Sparsely vegetated land - Coastal sand dunes</v>
      </c>
    </row>
    <row r="49" spans="1:4" x14ac:dyDescent="0.3">
      <c r="A49" s="496" t="s">
        <v>1343</v>
      </c>
      <c r="D49" s="496" t="str">
        <f>'G-1 All Habitats'!B52</f>
        <v>Sparsely vegetated land - Coastal vegetated shingle</v>
      </c>
    </row>
    <row r="50" spans="1:4" x14ac:dyDescent="0.3">
      <c r="A50" s="496" t="s">
        <v>1344</v>
      </c>
      <c r="D50" s="496" t="str">
        <f>'G-1 All Habitats'!B53</f>
        <v>Sparsely vegetated land - Ruderal/Ephemeral</v>
      </c>
    </row>
    <row r="51" spans="1:4" x14ac:dyDescent="0.3">
      <c r="A51" s="496" t="s">
        <v>1345</v>
      </c>
      <c r="D51" s="496" t="str">
        <f>'G-1 All Habitats'!B55</f>
        <v>Sparsely vegetated land - Inland rock outcrop and scree habitats</v>
      </c>
    </row>
    <row r="52" spans="1:4" x14ac:dyDescent="0.3">
      <c r="A52" s="496" t="s">
        <v>1346</v>
      </c>
      <c r="D52" s="496" t="str">
        <f>'G-1 All Habitats'!B56</f>
        <v>Sparsely vegetated land - Limestone pavement</v>
      </c>
    </row>
    <row r="53" spans="1:4" x14ac:dyDescent="0.3">
      <c r="A53" s="496" t="s">
        <v>1347</v>
      </c>
      <c r="D53" s="496" t="str">
        <f>'G-1 All Habitats'!B57</f>
        <v>Sparsely vegetated land - Maritime cliff and slopes</v>
      </c>
    </row>
    <row r="54" spans="1:4" x14ac:dyDescent="0.3">
      <c r="A54" s="496" t="s">
        <v>1348</v>
      </c>
      <c r="D54" s="496" t="str">
        <f>'G-1 All Habitats'!B58</f>
        <v>Sparsely vegetated land - Other inland rock and scree</v>
      </c>
    </row>
    <row r="55" spans="1:4" x14ac:dyDescent="0.3">
      <c r="A55" s="496" t="s">
        <v>1349</v>
      </c>
      <c r="D55" s="496" t="str">
        <f>'G-1 All Habitats'!B59</f>
        <v>Urban - Allotments</v>
      </c>
    </row>
    <row r="56" spans="1:4" x14ac:dyDescent="0.3">
      <c r="A56" s="496" t="s">
        <v>1350</v>
      </c>
      <c r="D56" s="496" t="str">
        <f>'G-1 All Habitats'!B40</f>
        <v>Lakes - Ornamental lake or pond</v>
      </c>
    </row>
    <row r="57" spans="1:4" x14ac:dyDescent="0.3">
      <c r="A57" s="496" t="s">
        <v>1351</v>
      </c>
      <c r="D57" s="496" t="str">
        <f>'G-1 All Habitats'!B60</f>
        <v>Urban - Artificial unvegetated, unsealed surface</v>
      </c>
    </row>
    <row r="58" spans="1:4" x14ac:dyDescent="0.3">
      <c r="A58" s="496" t="s">
        <v>1352</v>
      </c>
      <c r="D58" s="496" t="str">
        <f>'G-1 All Habitats'!B61</f>
        <v>Urban - Bioswale</v>
      </c>
    </row>
    <row r="59" spans="1:4" x14ac:dyDescent="0.3">
      <c r="A59" s="496" t="s">
        <v>1353</v>
      </c>
      <c r="D59" s="496" t="str">
        <f>'G-1 All Habitats'!B62</f>
        <v>Urban - Intensive green roof</v>
      </c>
    </row>
    <row r="60" spans="1:4" x14ac:dyDescent="0.3">
      <c r="A60" s="496" t="s">
        <v>1354</v>
      </c>
      <c r="D60" s="496" t="str">
        <f>'G-1 All Habitats'!B63</f>
        <v>Urban - Built linear features</v>
      </c>
    </row>
    <row r="61" spans="1:4" x14ac:dyDescent="0.3">
      <c r="A61" s="496" t="s">
        <v>1355</v>
      </c>
      <c r="D61" s="496" t="str">
        <f>'G-1 All Habitats'!B64</f>
        <v>Urban - Cemeteries and churchyards</v>
      </c>
    </row>
    <row r="62" spans="1:4" x14ac:dyDescent="0.3">
      <c r="A62" s="496" t="s">
        <v>1356</v>
      </c>
      <c r="D62" s="496" t="str">
        <f>'G-1 All Habitats'!B65</f>
        <v>Urban - Developed land; sealed surface</v>
      </c>
    </row>
    <row r="63" spans="1:4" x14ac:dyDescent="0.3">
      <c r="A63" s="496" t="s">
        <v>1357</v>
      </c>
      <c r="D63" s="496" t="str">
        <f>'G-1 All Habitats'!B66</f>
        <v>Urban - Other green roof</v>
      </c>
    </row>
    <row r="64" spans="1:4" x14ac:dyDescent="0.3">
      <c r="A64" s="496" t="s">
        <v>1358</v>
      </c>
      <c r="D64" s="496" t="str">
        <f>'G-1 All Habitats'!B67</f>
        <v>Urban - Facade-bound green wall</v>
      </c>
    </row>
    <row r="65" spans="1:4" x14ac:dyDescent="0.3">
      <c r="A65" s="496" t="s">
        <v>1359</v>
      </c>
      <c r="D65" s="496" t="str">
        <f>'G-1 All Habitats'!B68</f>
        <v>Urban - Ground based green wall</v>
      </c>
    </row>
    <row r="66" spans="1:4" x14ac:dyDescent="0.3">
      <c r="A66" s="496" t="s">
        <v>1360</v>
      </c>
      <c r="D66" s="496" t="str">
        <f>'G-1 All Habitats'!B69</f>
        <v>Urban - Ground level planters</v>
      </c>
    </row>
    <row r="67" spans="1:4" x14ac:dyDescent="0.3">
      <c r="A67" s="496" t="s">
        <v>1361</v>
      </c>
      <c r="D67" s="496" t="str">
        <f>'G-1 All Habitats'!B70</f>
        <v>Urban - Biodiverse green roof</v>
      </c>
    </row>
    <row r="68" spans="1:4" x14ac:dyDescent="0.3">
      <c r="A68" s="496" t="s">
        <v>1362</v>
      </c>
      <c r="D68" s="496" t="str">
        <f>'G-1 All Habitats'!B71</f>
        <v>Urban - Introduced shrub</v>
      </c>
    </row>
    <row r="69" spans="1:4" x14ac:dyDescent="0.3">
      <c r="A69" s="496" t="s">
        <v>1363</v>
      </c>
      <c r="D69" s="496" t="str">
        <f>'G-1 All Habitats'!B72</f>
        <v>Urban - Open mosaic habitats on previously developed land</v>
      </c>
    </row>
    <row r="70" spans="1:4" x14ac:dyDescent="0.3">
      <c r="A70" s="496" t="s">
        <v>1364</v>
      </c>
      <c r="D70" s="496" t="str">
        <f>'G-1 All Habitats'!B73</f>
        <v>Urban - Rain garden</v>
      </c>
    </row>
    <row r="71" spans="1:4" x14ac:dyDescent="0.3">
      <c r="A71" s="496" t="s">
        <v>1365</v>
      </c>
      <c r="D71" s="496" t="str">
        <f>'G-1 All Habitats'!B74</f>
        <v>Urban - Actively worked sand pit quarry or open cast mine</v>
      </c>
    </row>
    <row r="72" spans="1:4" x14ac:dyDescent="0.3">
      <c r="A72" s="496" t="s">
        <v>1366</v>
      </c>
      <c r="D72" s="496" t="str">
        <f>'G-1 All Habitats'!B80</f>
        <v>Individual trees - Urban tree</v>
      </c>
    </row>
    <row r="73" spans="1:4" x14ac:dyDescent="0.3">
      <c r="A73" s="496" t="s">
        <v>1367</v>
      </c>
      <c r="D73" s="496" t="str">
        <f>'G-1 All Habitats'!B75</f>
        <v>Urban - Sustainable drainage system</v>
      </c>
    </row>
    <row r="74" spans="1:4" x14ac:dyDescent="0.3">
      <c r="A74" s="496" t="s">
        <v>1368</v>
      </c>
      <c r="D74" s="496" t="str">
        <f>'G-1 All Habitats'!B76</f>
        <v>Urban - Unvegetated garden</v>
      </c>
    </row>
    <row r="75" spans="1:4" x14ac:dyDescent="0.3">
      <c r="A75" s="496" t="s">
        <v>1369</v>
      </c>
      <c r="D75" s="496" t="str">
        <f>'G-1 All Habitats'!B77</f>
        <v>Urban - Vacant or derelict land</v>
      </c>
    </row>
    <row r="76" spans="1:4" x14ac:dyDescent="0.3">
      <c r="A76" s="496" t="s">
        <v>1370</v>
      </c>
      <c r="D76" s="496" t="str">
        <f>'G-1 All Habitats'!B79</f>
        <v>Urban - Vegetated garden</v>
      </c>
    </row>
    <row r="77" spans="1:4" x14ac:dyDescent="0.3">
      <c r="A77" s="496" t="s">
        <v>1371</v>
      </c>
      <c r="D77" s="496" t="str">
        <f>'G-1 All Habitats'!B82</f>
        <v>Wetland - Blanket bog</v>
      </c>
    </row>
    <row r="78" spans="1:4" x14ac:dyDescent="0.3">
      <c r="A78" s="496" t="s">
        <v>1372</v>
      </c>
      <c r="D78" s="496" t="str">
        <f>'G-1 All Habitats'!B83</f>
        <v>Wetland - Depressions on peat substrates (H7150)</v>
      </c>
    </row>
    <row r="79" spans="1:4" x14ac:dyDescent="0.3">
      <c r="A79" s="496" t="s">
        <v>1373</v>
      </c>
      <c r="D79" s="496" t="str">
        <f>'G-1 All Habitats'!B84</f>
        <v>Wetland - Fens (upland and lowland)</v>
      </c>
    </row>
    <row r="80" spans="1:4" x14ac:dyDescent="0.3">
      <c r="A80" s="496" t="s">
        <v>1374</v>
      </c>
      <c r="D80" s="496" t="str">
        <f>'G-1 All Habitats'!B85</f>
        <v>Wetland - Lowland raised bog</v>
      </c>
    </row>
    <row r="81" spans="1:4" x14ac:dyDescent="0.3">
      <c r="A81" s="496" t="s">
        <v>1375</v>
      </c>
      <c r="D81" s="496" t="str">
        <f>'G-1 All Habitats'!B86</f>
        <v>Wetland - Oceanic valley mire[1] (D2.1)</v>
      </c>
    </row>
    <row r="82" spans="1:4" x14ac:dyDescent="0.3">
      <c r="A82" s="496" t="s">
        <v>1376</v>
      </c>
      <c r="D82" s="496" t="str">
        <f>'G-1 All Habitats'!B87</f>
        <v>Wetland - Purple moor grass and rush pastures</v>
      </c>
    </row>
    <row r="83" spans="1:4" x14ac:dyDescent="0.3">
      <c r="A83" s="496" t="s">
        <v>1377</v>
      </c>
      <c r="D83" s="496" t="str">
        <f>'G-1 All Habitats'!B88</f>
        <v>Wetland - Reedbeds</v>
      </c>
    </row>
    <row r="84" spans="1:4" x14ac:dyDescent="0.3">
      <c r="A84" s="496" t="s">
        <v>1378</v>
      </c>
      <c r="D84" s="496" t="str">
        <f>'G-1 All Habitats'!B89</f>
        <v>Wetland - Transition mires and quaking bogs (H7140)</v>
      </c>
    </row>
    <row r="85" spans="1:4" x14ac:dyDescent="0.3">
      <c r="A85" s="496" t="s">
        <v>1379</v>
      </c>
      <c r="D85" s="496" t="str">
        <f>'G-1 All Habitats'!B90</f>
        <v>Woodland and forest - Felled</v>
      </c>
    </row>
    <row r="86" spans="1:4" x14ac:dyDescent="0.3">
      <c r="A86" s="496" t="s">
        <v>1380</v>
      </c>
      <c r="D86" s="496" t="str">
        <f>'G-1 All Habitats'!B91</f>
        <v>Woodland and forest - Lowland beech and yew woodland</v>
      </c>
    </row>
    <row r="87" spans="1:4" x14ac:dyDescent="0.3">
      <c r="A87" s="496" t="s">
        <v>1381</v>
      </c>
      <c r="D87" s="496" t="str">
        <f>'G-1 All Habitats'!B92</f>
        <v>Woodland and forest - Lowland mixed deciduous woodland</v>
      </c>
    </row>
    <row r="88" spans="1:4" x14ac:dyDescent="0.3">
      <c r="A88" s="496" t="s">
        <v>1382</v>
      </c>
      <c r="D88" s="496" t="str">
        <f>'G-1 All Habitats'!B93</f>
        <v>Woodland and forest - Native pine woodlands</v>
      </c>
    </row>
    <row r="89" spans="1:4" x14ac:dyDescent="0.3">
      <c r="A89" s="496" t="s">
        <v>1383</v>
      </c>
      <c r="D89" s="496" t="str">
        <f>'G-1 All Habitats'!B94</f>
        <v>Woodland and forest - Other coniferous woodland</v>
      </c>
    </row>
    <row r="90" spans="1:4" x14ac:dyDescent="0.3">
      <c r="A90" s="496" t="s">
        <v>1384</v>
      </c>
      <c r="D90" s="496" t="str">
        <f>'G-1 All Habitats'!B95</f>
        <v>Woodland and forest - Other Scot's pine woodland</v>
      </c>
    </row>
    <row r="91" spans="1:4" x14ac:dyDescent="0.3">
      <c r="A91" s="496" t="s">
        <v>1385</v>
      </c>
      <c r="D91" s="496" t="str">
        <f>'G-1 All Habitats'!B96</f>
        <v>Woodland and forest - Other woodland; broadleaved</v>
      </c>
    </row>
    <row r="92" spans="1:4" x14ac:dyDescent="0.3">
      <c r="A92" s="496" t="s">
        <v>1386</v>
      </c>
      <c r="D92" s="496" t="str">
        <f>'G-1 All Habitats'!B97</f>
        <v>Woodland and forest - Other woodland; mixed</v>
      </c>
    </row>
    <row r="93" spans="1:4" x14ac:dyDescent="0.3">
      <c r="A93" s="496" t="s">
        <v>1387</v>
      </c>
      <c r="D93" s="496" t="str">
        <f>'G-1 All Habitats'!B98</f>
        <v>Woodland and forest - Upland birchwoods</v>
      </c>
    </row>
    <row r="94" spans="1:4" x14ac:dyDescent="0.3">
      <c r="A94" s="496" t="s">
        <v>1388</v>
      </c>
      <c r="D94" s="496" t="str">
        <f>'G-1 All Habitats'!B99</f>
        <v>Woodland and forest - Upland mixed ashwoods</v>
      </c>
    </row>
    <row r="95" spans="1:4" x14ac:dyDescent="0.3">
      <c r="A95" s="496" t="s">
        <v>1389</v>
      </c>
      <c r="D95" s="496" t="str">
        <f>'G-1 All Habitats'!B100</f>
        <v>Woodland and forest - Upland oakwood</v>
      </c>
    </row>
    <row r="96" spans="1:4" x14ac:dyDescent="0.3">
      <c r="A96" s="496" t="s">
        <v>1390</v>
      </c>
      <c r="D96" s="496" t="str">
        <f>'G-1 All Habitats'!B101</f>
        <v>Woodland and forest - Wet woodland</v>
      </c>
    </row>
    <row r="97" spans="1:4" x14ac:dyDescent="0.3">
      <c r="A97" s="496" t="s">
        <v>1391</v>
      </c>
      <c r="D97" s="496" t="str">
        <f>'G-1 All Habitats'!B102</f>
        <v>Woodland and forest - Wood-pasture and parkland</v>
      </c>
    </row>
    <row r="98" spans="1:4" x14ac:dyDescent="0.3">
      <c r="A98" s="496" t="s">
        <v>1392</v>
      </c>
      <c r="D98" s="496" t="str">
        <f>'G-1 All Habitats'!B103</f>
        <v>Coastal lagoons - Coastal lagoons</v>
      </c>
    </row>
    <row r="99" spans="1:4" x14ac:dyDescent="0.3">
      <c r="A99" s="496" t="s">
        <v>1393</v>
      </c>
      <c r="D99" s="496" t="str">
        <f>'G-1 All Habitats'!B104</f>
        <v>Rocky shore - High energy littoral rock</v>
      </c>
    </row>
    <row r="100" spans="1:4" x14ac:dyDescent="0.3">
      <c r="A100" s="496" t="s">
        <v>1394</v>
      </c>
      <c r="D100" s="496" t="str">
        <f>'G-1 All Habitats'!B105</f>
        <v>Rocky shore - High energy littoral rock - on peat, clay or chalk</v>
      </c>
    </row>
    <row r="101" spans="1:4" x14ac:dyDescent="0.3">
      <c r="A101" s="496" t="s">
        <v>1395</v>
      </c>
      <c r="D101" s="496" t="str">
        <f>'G-1 All Habitats'!B106</f>
        <v>Rocky shore - Moderate energy littoral rock</v>
      </c>
    </row>
    <row r="102" spans="1:4" x14ac:dyDescent="0.3">
      <c r="A102" s="496" t="s">
        <v>1396</v>
      </c>
      <c r="D102" s="496" t="str">
        <f>'G-1 All Habitats'!B107</f>
        <v>Rocky shore - Moderate energy littoral rock - on peat, clay or chalk</v>
      </c>
    </row>
    <row r="103" spans="1:4" x14ac:dyDescent="0.3">
      <c r="A103" s="496" t="s">
        <v>1397</v>
      </c>
      <c r="D103" s="496" t="str">
        <f>'G-1 All Habitats'!B108</f>
        <v>Rocky shore - Low energy littoral rock</v>
      </c>
    </row>
    <row r="104" spans="1:4" x14ac:dyDescent="0.3">
      <c r="A104" s="496" t="s">
        <v>1398</v>
      </c>
      <c r="D104" s="496" t="str">
        <f>'G-1 All Habitats'!B109</f>
        <v>Rocky shore - Low energy littoral rock - on peat, clay or chalk</v>
      </c>
    </row>
    <row r="105" spans="1:4" x14ac:dyDescent="0.3">
      <c r="A105" s="496" t="s">
        <v>1399</v>
      </c>
      <c r="D105" s="496" t="str">
        <f>'G-1 All Habitats'!B110</f>
        <v>Rocky shore - Features of littoral rock</v>
      </c>
    </row>
    <row r="106" spans="1:4" x14ac:dyDescent="0.3">
      <c r="A106" s="496" t="s">
        <v>1400</v>
      </c>
      <c r="D106" s="496" t="str">
        <f>'G-1 All Habitats'!B111</f>
        <v>Rocky shore - Features of littoral rock - on peat, clay or chalk</v>
      </c>
    </row>
    <row r="107" spans="1:4" x14ac:dyDescent="0.3">
      <c r="A107" s="496" t="s">
        <v>1401</v>
      </c>
      <c r="D107" s="496" t="str">
        <f>'G-1 All Habitats'!B114</f>
        <v>Intertidal sediment - Littoral coarse sediment</v>
      </c>
    </row>
    <row r="108" spans="1:4" x14ac:dyDescent="0.3">
      <c r="A108" s="496" t="s">
        <v>1402</v>
      </c>
      <c r="D108" s="496" t="str">
        <f>'G-1 All Habitats'!B115</f>
        <v>Intertidal sediment - Littoral mud</v>
      </c>
    </row>
    <row r="109" spans="1:4" x14ac:dyDescent="0.3">
      <c r="A109" s="496" t="s">
        <v>1403</v>
      </c>
      <c r="D109" s="496" t="str">
        <f>'G-1 All Habitats'!B116</f>
        <v>Intertidal sediment - Littoral mixed sediments</v>
      </c>
    </row>
    <row r="110" spans="1:4" x14ac:dyDescent="0.3">
      <c r="A110" s="496" t="s">
        <v>1404</v>
      </c>
      <c r="D110" s="496" t="str">
        <f>'G-1 All Habitats'!B112</f>
        <v>Coastal saltmarsh - Saltmarshes and saline reedbeds</v>
      </c>
    </row>
    <row r="111" spans="1:4" x14ac:dyDescent="0.3">
      <c r="A111" s="496" t="s">
        <v>1405</v>
      </c>
      <c r="D111" s="496" t="str">
        <f>'G-1 All Habitats'!B117</f>
        <v>Intertidal sediment - Littoral seagrass</v>
      </c>
    </row>
    <row r="112" spans="1:4" x14ac:dyDescent="0.3">
      <c r="A112" s="496" t="s">
        <v>1406</v>
      </c>
      <c r="D112" s="496" t="str">
        <f>'G-1 All Habitats'!B118</f>
        <v>Intertidal sediment - Littoral seagrass on peat, clay or chalk</v>
      </c>
    </row>
    <row r="113" spans="1:4" x14ac:dyDescent="0.3">
      <c r="A113" s="496" t="s">
        <v>1407</v>
      </c>
      <c r="D113" s="496" t="str">
        <f>'G-1 All Habitats'!B120</f>
        <v>Intertidal sediment - Littoral biogenic reefs - Sabellaria</v>
      </c>
    </row>
    <row r="114" spans="1:4" x14ac:dyDescent="0.3">
      <c r="A114" s="496" t="s">
        <v>1408</v>
      </c>
      <c r="D114" s="496" t="str">
        <f>'G-1 All Habitats'!B121</f>
        <v>Intertidal sediment - Features of littoral sediment</v>
      </c>
    </row>
    <row r="115" spans="1:4" x14ac:dyDescent="0.3">
      <c r="A115" s="496" t="s">
        <v>1409</v>
      </c>
      <c r="D115" s="496" t="str">
        <f>'G-1 All Habitats'!B122</f>
        <v>Intertidal sediment - Artificial littoral coarse sediment</v>
      </c>
    </row>
    <row r="116" spans="1:4" x14ac:dyDescent="0.3">
      <c r="A116" s="496" t="s">
        <v>1410</v>
      </c>
      <c r="D116" s="496" t="str">
        <f>'G-1 All Habitats'!B125</f>
        <v>Intertidal sediment - Artificial littoral muddy sand</v>
      </c>
    </row>
    <row r="117" spans="1:4" x14ac:dyDescent="0.3">
      <c r="A117" s="496" t="s">
        <v>1411</v>
      </c>
      <c r="D117" s="496" t="str">
        <f>'G-1 All Habitats'!B126</f>
        <v>Intertidal sediment - Artificial littoral mixed sediments</v>
      </c>
    </row>
    <row r="118" spans="1:4" x14ac:dyDescent="0.3">
      <c r="A118" s="496" t="s">
        <v>1412</v>
      </c>
      <c r="D118" s="496" t="str">
        <f>'G-1 All Habitats'!B127</f>
        <v>Intertidal sediment - Artificial littoral seagrass</v>
      </c>
    </row>
    <row r="119" spans="1:4" x14ac:dyDescent="0.3">
      <c r="A119" s="496" t="s">
        <v>1413</v>
      </c>
      <c r="D119" s="496" t="str">
        <f>'G-1 All Habitats'!B128</f>
        <v>Intertidal sediment - Artificial littoral biogenic reefs</v>
      </c>
    </row>
    <row r="120" spans="1:4" x14ac:dyDescent="0.3">
      <c r="A120" s="496" t="s">
        <v>1414</v>
      </c>
      <c r="D120" s="496" t="str">
        <f>'G-1 All Habitats'!B81</f>
        <v>Individual trees - Rural tree</v>
      </c>
    </row>
    <row r="121" spans="1:4" x14ac:dyDescent="0.3">
      <c r="A121" s="496" t="s">
        <v>1415</v>
      </c>
      <c r="D121" s="496">
        <f>'G-1 All Habitats'!B135</f>
        <v>0</v>
      </c>
    </row>
    <row r="122" spans="1:4" x14ac:dyDescent="0.3">
      <c r="A122" s="496" t="s">
        <v>1416</v>
      </c>
      <c r="D122" s="496">
        <f>'G-1 All Habitats'!B136</f>
        <v>0</v>
      </c>
    </row>
    <row r="123" spans="1:4" x14ac:dyDescent="0.3">
      <c r="A123" s="496" t="s">
        <v>1417</v>
      </c>
      <c r="D123" s="496">
        <f>'G-1 All Habitats'!B137</f>
        <v>0</v>
      </c>
    </row>
    <row r="124" spans="1:4" x14ac:dyDescent="0.3">
      <c r="A124" s="496" t="s">
        <v>1418</v>
      </c>
      <c r="D124" s="496">
        <f>'G-1 All Habitats'!B138</f>
        <v>0</v>
      </c>
    </row>
    <row r="125" spans="1:4" x14ac:dyDescent="0.3">
      <c r="A125" s="496" t="s">
        <v>1419</v>
      </c>
      <c r="D125" s="496">
        <f>'G-1 All Habitats'!B139</f>
        <v>0</v>
      </c>
    </row>
    <row r="126" spans="1:4" x14ac:dyDescent="0.3">
      <c r="A126" s="496" t="s">
        <v>1420</v>
      </c>
      <c r="D126" s="496">
        <f>'G-1 All Habitats'!B140</f>
        <v>0</v>
      </c>
    </row>
    <row r="127" spans="1:4" x14ac:dyDescent="0.3">
      <c r="A127" s="496" t="s">
        <v>1421</v>
      </c>
      <c r="D127" s="496">
        <f>'G-1 All Habitats'!B141</f>
        <v>0</v>
      </c>
    </row>
    <row r="128" spans="1:4" x14ac:dyDescent="0.3">
      <c r="A128" s="496" t="s">
        <v>1422</v>
      </c>
      <c r="D128" s="496">
        <f>'G-1 All Habitats'!B142</f>
        <v>0</v>
      </c>
    </row>
    <row r="129" spans="1:4" x14ac:dyDescent="0.3">
      <c r="A129" s="496" t="s">
        <v>1423</v>
      </c>
      <c r="D129" s="496">
        <f>'G-1 All Habitats'!B143</f>
        <v>0</v>
      </c>
    </row>
    <row r="130" spans="1:4" x14ac:dyDescent="0.3">
      <c r="A130" s="496" t="s">
        <v>1424</v>
      </c>
      <c r="D130" s="496">
        <f>'G-1 All Habitats'!B144</f>
        <v>0</v>
      </c>
    </row>
    <row r="131" spans="1:4" x14ac:dyDescent="0.3">
      <c r="A131" s="496" t="s">
        <v>1425</v>
      </c>
      <c r="D131" s="496">
        <f>'G-1 All Habitats'!B145</f>
        <v>0</v>
      </c>
    </row>
    <row r="132" spans="1:4" x14ac:dyDescent="0.3">
      <c r="A132" s="496" t="s">
        <v>1426</v>
      </c>
      <c r="D132" s="496">
        <f>'G-1 All Habitats'!B146</f>
        <v>0</v>
      </c>
    </row>
    <row r="133" spans="1:4" x14ac:dyDescent="0.3">
      <c r="A133" s="496" t="s">
        <v>1427</v>
      </c>
      <c r="D133" s="496">
        <f>'G-1 All Habitats'!B147</f>
        <v>0</v>
      </c>
    </row>
    <row r="134" spans="1:4" x14ac:dyDescent="0.3">
      <c r="A134" s="496" t="s">
        <v>1428</v>
      </c>
      <c r="D134" s="496">
        <f>'G-1 All Habitats'!B148</f>
        <v>0</v>
      </c>
    </row>
    <row r="135" spans="1:4" x14ac:dyDescent="0.3">
      <c r="A135" s="496" t="s">
        <v>1429</v>
      </c>
      <c r="D135" s="496">
        <f>'G-1 All Habitats'!B149</f>
        <v>0</v>
      </c>
    </row>
    <row r="136" spans="1:4" x14ac:dyDescent="0.3">
      <c r="A136" s="496" t="s">
        <v>1430</v>
      </c>
      <c r="D136" s="496">
        <f>'G-1 All Habitats'!B150</f>
        <v>0</v>
      </c>
    </row>
    <row r="137" spans="1:4" x14ac:dyDescent="0.3">
      <c r="A137" s="496" t="s">
        <v>1431</v>
      </c>
      <c r="D137" s="496">
        <f>'G-1 All Habitats'!B151</f>
        <v>0</v>
      </c>
    </row>
    <row r="138" spans="1:4" x14ac:dyDescent="0.3">
      <c r="A138" s="496" t="s">
        <v>1432</v>
      </c>
      <c r="D138" s="496">
        <f>'G-1 All Habitats'!B152</f>
        <v>0</v>
      </c>
    </row>
    <row r="139" spans="1:4" x14ac:dyDescent="0.3">
      <c r="A139" s="496" t="s">
        <v>1433</v>
      </c>
      <c r="D139" s="496">
        <f>'G-1 All Habitats'!B153</f>
        <v>0</v>
      </c>
    </row>
    <row r="140" spans="1:4" x14ac:dyDescent="0.3">
      <c r="A140" s="496" t="s">
        <v>1434</v>
      </c>
      <c r="D140" s="496">
        <f>'G-1 All Habitats'!B154</f>
        <v>0</v>
      </c>
    </row>
    <row r="141" spans="1:4" x14ac:dyDescent="0.3">
      <c r="A141" s="496" t="s">
        <v>1435</v>
      </c>
    </row>
    <row r="142" spans="1:4" x14ac:dyDescent="0.3">
      <c r="A142" s="496" t="s">
        <v>1436</v>
      </c>
    </row>
    <row r="143" spans="1:4" x14ac:dyDescent="0.3">
      <c r="A143" s="496" t="s">
        <v>1437</v>
      </c>
    </row>
    <row r="144" spans="1:4" x14ac:dyDescent="0.3">
      <c r="A144" s="496" t="s">
        <v>1438</v>
      </c>
    </row>
    <row r="145" spans="1:1" x14ac:dyDescent="0.3">
      <c r="A145" s="496" t="s">
        <v>1439</v>
      </c>
    </row>
    <row r="146" spans="1:1" x14ac:dyDescent="0.3">
      <c r="A146" s="496" t="s">
        <v>1440</v>
      </c>
    </row>
    <row r="147" spans="1:1" x14ac:dyDescent="0.3">
      <c r="A147" s="496" t="s">
        <v>1441</v>
      </c>
    </row>
    <row r="148" spans="1:1" x14ac:dyDescent="0.3">
      <c r="A148" s="496" t="s">
        <v>1442</v>
      </c>
    </row>
    <row r="149" spans="1:1" x14ac:dyDescent="0.3">
      <c r="A149" s="496" t="s">
        <v>1443</v>
      </c>
    </row>
    <row r="150" spans="1:1" x14ac:dyDescent="0.3">
      <c r="A150" s="496" t="s">
        <v>1444</v>
      </c>
    </row>
    <row r="151" spans="1:1" x14ac:dyDescent="0.3">
      <c r="A151" s="496" t="s">
        <v>1445</v>
      </c>
    </row>
    <row r="152" spans="1:1" x14ac:dyDescent="0.3">
      <c r="A152" s="496" t="s">
        <v>1446</v>
      </c>
    </row>
    <row r="153" spans="1:1" x14ac:dyDescent="0.3">
      <c r="A153" s="496" t="s">
        <v>1447</v>
      </c>
    </row>
    <row r="154" spans="1:1" x14ac:dyDescent="0.3">
      <c r="A154" s="496" t="s">
        <v>1448</v>
      </c>
    </row>
    <row r="155" spans="1:1" x14ac:dyDescent="0.3">
      <c r="A155" s="496" t="s">
        <v>1449</v>
      </c>
    </row>
    <row r="156" spans="1:1" x14ac:dyDescent="0.3">
      <c r="A156" s="496" t="s">
        <v>1450</v>
      </c>
    </row>
    <row r="157" spans="1:1" x14ac:dyDescent="0.3">
      <c r="A157" s="496" t="s">
        <v>1451</v>
      </c>
    </row>
    <row r="158" spans="1:1" x14ac:dyDescent="0.3">
      <c r="A158" s="496" t="s">
        <v>1452</v>
      </c>
    </row>
    <row r="159" spans="1:1" x14ac:dyDescent="0.3">
      <c r="A159" s="496" t="s">
        <v>1453</v>
      </c>
    </row>
    <row r="160" spans="1:1" x14ac:dyDescent="0.3">
      <c r="A160" s="496" t="s">
        <v>1454</v>
      </c>
    </row>
    <row r="161" spans="1:1" x14ac:dyDescent="0.3">
      <c r="A161" s="496" t="s">
        <v>1455</v>
      </c>
    </row>
    <row r="162" spans="1:1" x14ac:dyDescent="0.3">
      <c r="A162" s="496" t="s">
        <v>1456</v>
      </c>
    </row>
    <row r="163" spans="1:1" x14ac:dyDescent="0.3">
      <c r="A163" s="496" t="s">
        <v>1457</v>
      </c>
    </row>
    <row r="164" spans="1:1" x14ac:dyDescent="0.3">
      <c r="A164" s="496" t="s">
        <v>1458</v>
      </c>
    </row>
    <row r="165" spans="1:1" x14ac:dyDescent="0.3">
      <c r="A165" s="496" t="s">
        <v>1459</v>
      </c>
    </row>
    <row r="166" spans="1:1" x14ac:dyDescent="0.3">
      <c r="A166" s="496" t="s">
        <v>1460</v>
      </c>
    </row>
    <row r="167" spans="1:1" x14ac:dyDescent="0.3">
      <c r="A167" s="496" t="s">
        <v>1461</v>
      </c>
    </row>
    <row r="168" spans="1:1" x14ac:dyDescent="0.3">
      <c r="A168" s="496" t="s">
        <v>1462</v>
      </c>
    </row>
    <row r="169" spans="1:1" x14ac:dyDescent="0.3">
      <c r="A169" s="496" t="s">
        <v>1463</v>
      </c>
    </row>
    <row r="170" spans="1:1" x14ac:dyDescent="0.3">
      <c r="A170" s="496" t="s">
        <v>1464</v>
      </c>
    </row>
    <row r="171" spans="1:1" x14ac:dyDescent="0.3">
      <c r="A171" s="496" t="s">
        <v>1465</v>
      </c>
    </row>
    <row r="172" spans="1:1" x14ac:dyDescent="0.3">
      <c r="A172" s="496" t="s">
        <v>1466</v>
      </c>
    </row>
    <row r="173" spans="1:1" x14ac:dyDescent="0.3">
      <c r="A173" s="496" t="s">
        <v>1467</v>
      </c>
    </row>
    <row r="174" spans="1:1" x14ac:dyDescent="0.3">
      <c r="A174" s="496" t="s">
        <v>1468</v>
      </c>
    </row>
    <row r="175" spans="1:1" x14ac:dyDescent="0.3">
      <c r="A175" s="496" t="s">
        <v>1469</v>
      </c>
    </row>
    <row r="176" spans="1:1" x14ac:dyDescent="0.3">
      <c r="A176" s="496" t="s">
        <v>1470</v>
      </c>
    </row>
    <row r="177" spans="1:1" x14ac:dyDescent="0.3">
      <c r="A177" s="496" t="s">
        <v>1471</v>
      </c>
    </row>
    <row r="178" spans="1:1" x14ac:dyDescent="0.3">
      <c r="A178" s="496" t="s">
        <v>1472</v>
      </c>
    </row>
    <row r="179" spans="1:1" x14ac:dyDescent="0.3">
      <c r="A179" s="496" t="s">
        <v>1473</v>
      </c>
    </row>
    <row r="180" spans="1:1" x14ac:dyDescent="0.3">
      <c r="A180" s="496" t="s">
        <v>1474</v>
      </c>
    </row>
    <row r="181" spans="1:1" x14ac:dyDescent="0.3">
      <c r="A181" s="496" t="s">
        <v>1475</v>
      </c>
    </row>
    <row r="182" spans="1:1" x14ac:dyDescent="0.3">
      <c r="A182" s="496" t="s">
        <v>1476</v>
      </c>
    </row>
    <row r="183" spans="1:1" x14ac:dyDescent="0.3">
      <c r="A183" s="496" t="s">
        <v>1477</v>
      </c>
    </row>
    <row r="184" spans="1:1" x14ac:dyDescent="0.3">
      <c r="A184" s="496" t="s">
        <v>1478</v>
      </c>
    </row>
    <row r="185" spans="1:1" x14ac:dyDescent="0.3">
      <c r="A185" s="496" t="s">
        <v>1479</v>
      </c>
    </row>
    <row r="186" spans="1:1" x14ac:dyDescent="0.3">
      <c r="A186" s="496" t="s">
        <v>1480</v>
      </c>
    </row>
    <row r="187" spans="1:1" x14ac:dyDescent="0.3">
      <c r="A187" s="496" t="s">
        <v>1481</v>
      </c>
    </row>
    <row r="188" spans="1:1" x14ac:dyDescent="0.3">
      <c r="A188" s="496" t="s">
        <v>1482</v>
      </c>
    </row>
    <row r="189" spans="1:1" x14ac:dyDescent="0.3">
      <c r="A189" s="496" t="s">
        <v>1483</v>
      </c>
    </row>
    <row r="190" spans="1:1" x14ac:dyDescent="0.3">
      <c r="A190" s="496" t="s">
        <v>1484</v>
      </c>
    </row>
    <row r="191" spans="1:1" x14ac:dyDescent="0.3">
      <c r="A191" s="496" t="s">
        <v>1485</v>
      </c>
    </row>
    <row r="192" spans="1:1" x14ac:dyDescent="0.3">
      <c r="A192" s="496" t="s">
        <v>1486</v>
      </c>
    </row>
    <row r="193" spans="1:1" x14ac:dyDescent="0.3">
      <c r="A193" s="496" t="s">
        <v>1487</v>
      </c>
    </row>
    <row r="194" spans="1:1" x14ac:dyDescent="0.3">
      <c r="A194" s="496" t="s">
        <v>1488</v>
      </c>
    </row>
    <row r="195" spans="1:1" x14ac:dyDescent="0.3">
      <c r="A195" s="496" t="s">
        <v>1489</v>
      </c>
    </row>
    <row r="196" spans="1:1" x14ac:dyDescent="0.3">
      <c r="A196" s="496" t="s">
        <v>1490</v>
      </c>
    </row>
    <row r="197" spans="1:1" x14ac:dyDescent="0.3">
      <c r="A197" s="496" t="s">
        <v>1491</v>
      </c>
    </row>
    <row r="198" spans="1:1" x14ac:dyDescent="0.3">
      <c r="A198" s="496" t="s">
        <v>1492</v>
      </c>
    </row>
    <row r="199" spans="1:1" x14ac:dyDescent="0.3">
      <c r="A199" s="496" t="s">
        <v>1493</v>
      </c>
    </row>
    <row r="200" spans="1:1" x14ac:dyDescent="0.3">
      <c r="A200" s="496" t="s">
        <v>1494</v>
      </c>
    </row>
    <row r="201" spans="1:1" x14ac:dyDescent="0.3">
      <c r="A201" s="496" t="s">
        <v>1495</v>
      </c>
    </row>
    <row r="202" spans="1:1" x14ac:dyDescent="0.3">
      <c r="A202" s="496" t="s">
        <v>1496</v>
      </c>
    </row>
    <row r="203" spans="1:1" x14ac:dyDescent="0.3">
      <c r="A203" s="496" t="s">
        <v>1497</v>
      </c>
    </row>
    <row r="204" spans="1:1" x14ac:dyDescent="0.3">
      <c r="A204" s="496" t="s">
        <v>1498</v>
      </c>
    </row>
    <row r="205" spans="1:1" x14ac:dyDescent="0.3">
      <c r="A205" s="496" t="s">
        <v>1499</v>
      </c>
    </row>
    <row r="206" spans="1:1" x14ac:dyDescent="0.3">
      <c r="A206" s="496" t="s">
        <v>1500</v>
      </c>
    </row>
    <row r="207" spans="1:1" x14ac:dyDescent="0.3">
      <c r="A207" s="496" t="s">
        <v>1501</v>
      </c>
    </row>
    <row r="208" spans="1:1" x14ac:dyDescent="0.3">
      <c r="A208" s="496" t="s">
        <v>1502</v>
      </c>
    </row>
    <row r="209" spans="1:1" x14ac:dyDescent="0.3">
      <c r="A209" s="496" t="s">
        <v>1503</v>
      </c>
    </row>
    <row r="210" spans="1:1" x14ac:dyDescent="0.3">
      <c r="A210" s="496" t="s">
        <v>1504</v>
      </c>
    </row>
    <row r="211" spans="1:1" x14ac:dyDescent="0.3">
      <c r="A211" s="496" t="s">
        <v>1505</v>
      </c>
    </row>
    <row r="212" spans="1:1" x14ac:dyDescent="0.3">
      <c r="A212" s="496" t="s">
        <v>1506</v>
      </c>
    </row>
    <row r="213" spans="1:1" x14ac:dyDescent="0.3">
      <c r="A213" s="496" t="s">
        <v>1507</v>
      </c>
    </row>
    <row r="214" spans="1:1" x14ac:dyDescent="0.3">
      <c r="A214" s="496" t="s">
        <v>1508</v>
      </c>
    </row>
    <row r="215" spans="1:1" x14ac:dyDescent="0.3">
      <c r="A215" s="496" t="s">
        <v>1509</v>
      </c>
    </row>
    <row r="216" spans="1:1" x14ac:dyDescent="0.3">
      <c r="A216" s="496" t="s">
        <v>1510</v>
      </c>
    </row>
    <row r="217" spans="1:1" x14ac:dyDescent="0.3">
      <c r="A217" s="496" t="s">
        <v>1511</v>
      </c>
    </row>
    <row r="218" spans="1:1" x14ac:dyDescent="0.3">
      <c r="A218" s="496" t="s">
        <v>1512</v>
      </c>
    </row>
    <row r="219" spans="1:1" x14ac:dyDescent="0.3">
      <c r="A219" s="496" t="s">
        <v>1513</v>
      </c>
    </row>
    <row r="220" spans="1:1" x14ac:dyDescent="0.3">
      <c r="A220" s="496" t="s">
        <v>1514</v>
      </c>
    </row>
    <row r="221" spans="1:1" x14ac:dyDescent="0.3">
      <c r="A221" s="496" t="s">
        <v>1515</v>
      </c>
    </row>
    <row r="222" spans="1:1" x14ac:dyDescent="0.3">
      <c r="A222" s="496" t="s">
        <v>1516</v>
      </c>
    </row>
    <row r="223" spans="1:1" x14ac:dyDescent="0.3">
      <c r="A223" s="496" t="s">
        <v>1517</v>
      </c>
    </row>
    <row r="224" spans="1:1" x14ac:dyDescent="0.3">
      <c r="A224" s="496" t="s">
        <v>1518</v>
      </c>
    </row>
    <row r="225" spans="1:1" x14ac:dyDescent="0.3">
      <c r="A225" s="496" t="s">
        <v>1519</v>
      </c>
    </row>
    <row r="226" spans="1:1" x14ac:dyDescent="0.3">
      <c r="A226" s="496" t="s">
        <v>1520</v>
      </c>
    </row>
    <row r="227" spans="1:1" x14ac:dyDescent="0.3">
      <c r="A227" s="496" t="s">
        <v>1521</v>
      </c>
    </row>
    <row r="228" spans="1:1" x14ac:dyDescent="0.3">
      <c r="A228" s="496" t="s">
        <v>1522</v>
      </c>
    </row>
    <row r="229" spans="1:1" x14ac:dyDescent="0.3">
      <c r="A229" s="496" t="s">
        <v>1523</v>
      </c>
    </row>
    <row r="230" spans="1:1" x14ac:dyDescent="0.3">
      <c r="A230" s="496" t="s">
        <v>1524</v>
      </c>
    </row>
    <row r="231" spans="1:1" x14ac:dyDescent="0.3">
      <c r="A231" s="496" t="s">
        <v>1525</v>
      </c>
    </row>
    <row r="232" spans="1:1" x14ac:dyDescent="0.3">
      <c r="A232" s="496" t="s">
        <v>1526</v>
      </c>
    </row>
    <row r="233" spans="1:1" x14ac:dyDescent="0.3">
      <c r="A233" s="496" t="s">
        <v>1527</v>
      </c>
    </row>
    <row r="234" spans="1:1" x14ac:dyDescent="0.3">
      <c r="A234" s="496" t="s">
        <v>1528</v>
      </c>
    </row>
    <row r="235" spans="1:1" x14ac:dyDescent="0.3">
      <c r="A235" s="496" t="s">
        <v>1529</v>
      </c>
    </row>
    <row r="236" spans="1:1" x14ac:dyDescent="0.3">
      <c r="A236" s="496" t="s">
        <v>1530</v>
      </c>
    </row>
    <row r="237" spans="1:1" x14ac:dyDescent="0.3">
      <c r="A237" s="496" t="s">
        <v>1531</v>
      </c>
    </row>
    <row r="238" spans="1:1" x14ac:dyDescent="0.3">
      <c r="A238" s="496" t="s">
        <v>1532</v>
      </c>
    </row>
    <row r="239" spans="1:1" x14ac:dyDescent="0.3">
      <c r="A239" s="496" t="s">
        <v>1533</v>
      </c>
    </row>
    <row r="240" spans="1:1" x14ac:dyDescent="0.3">
      <c r="A240" s="496" t="s">
        <v>1534</v>
      </c>
    </row>
    <row r="241" spans="1:1" x14ac:dyDescent="0.3">
      <c r="A241" s="496" t="s">
        <v>1535</v>
      </c>
    </row>
    <row r="242" spans="1:1" x14ac:dyDescent="0.3">
      <c r="A242" s="496" t="s">
        <v>1536</v>
      </c>
    </row>
    <row r="243" spans="1:1" x14ac:dyDescent="0.3">
      <c r="A243" s="496" t="s">
        <v>1537</v>
      </c>
    </row>
    <row r="244" spans="1:1" x14ac:dyDescent="0.3">
      <c r="A244" s="496" t="s">
        <v>1538</v>
      </c>
    </row>
    <row r="245" spans="1:1" x14ac:dyDescent="0.3">
      <c r="A245" s="496" t="s">
        <v>1539</v>
      </c>
    </row>
    <row r="246" spans="1:1" x14ac:dyDescent="0.3">
      <c r="A246" s="496" t="s">
        <v>1540</v>
      </c>
    </row>
    <row r="247" spans="1:1" x14ac:dyDescent="0.3">
      <c r="A247" s="496" t="s">
        <v>1541</v>
      </c>
    </row>
    <row r="248" spans="1:1" x14ac:dyDescent="0.3">
      <c r="A248" s="496" t="s">
        <v>1542</v>
      </c>
    </row>
    <row r="249" spans="1:1" x14ac:dyDescent="0.3">
      <c r="A249" s="496" t="s">
        <v>1543</v>
      </c>
    </row>
    <row r="250" spans="1:1" x14ac:dyDescent="0.3">
      <c r="A250" s="496" t="s">
        <v>1544</v>
      </c>
    </row>
    <row r="251" spans="1:1" x14ac:dyDescent="0.3">
      <c r="A251" s="496" t="s">
        <v>1545</v>
      </c>
    </row>
    <row r="252" spans="1:1" x14ac:dyDescent="0.3">
      <c r="A252" s="496" t="s">
        <v>1546</v>
      </c>
    </row>
    <row r="253" spans="1:1" x14ac:dyDescent="0.3">
      <c r="A253" s="496" t="s">
        <v>1547</v>
      </c>
    </row>
    <row r="254" spans="1:1" x14ac:dyDescent="0.3">
      <c r="A254" s="496" t="s">
        <v>1548</v>
      </c>
    </row>
    <row r="255" spans="1:1" x14ac:dyDescent="0.3">
      <c r="A255" s="496" t="s">
        <v>1549</v>
      </c>
    </row>
    <row r="256" spans="1:1" x14ac:dyDescent="0.3">
      <c r="A256" s="496" t="s">
        <v>1550</v>
      </c>
    </row>
    <row r="257" spans="1:1" x14ac:dyDescent="0.3">
      <c r="A257" s="496" t="s">
        <v>1551</v>
      </c>
    </row>
    <row r="258" spans="1:1" x14ac:dyDescent="0.3">
      <c r="A258" s="496" t="s">
        <v>1552</v>
      </c>
    </row>
    <row r="259" spans="1:1" x14ac:dyDescent="0.3">
      <c r="A259" s="496" t="s">
        <v>1553</v>
      </c>
    </row>
    <row r="260" spans="1:1" x14ac:dyDescent="0.3">
      <c r="A260" s="496" t="s">
        <v>1554</v>
      </c>
    </row>
    <row r="261" spans="1:1" x14ac:dyDescent="0.3">
      <c r="A261" s="496" t="s">
        <v>1555</v>
      </c>
    </row>
    <row r="262" spans="1:1" x14ac:dyDescent="0.3">
      <c r="A262" s="496" t="s">
        <v>1556</v>
      </c>
    </row>
    <row r="263" spans="1:1" x14ac:dyDescent="0.3">
      <c r="A263" s="496" t="s">
        <v>1557</v>
      </c>
    </row>
    <row r="264" spans="1:1" x14ac:dyDescent="0.3">
      <c r="A264" s="496" t="s">
        <v>1558</v>
      </c>
    </row>
    <row r="265" spans="1:1" x14ac:dyDescent="0.3">
      <c r="A265" s="496" t="s">
        <v>1559</v>
      </c>
    </row>
    <row r="266" spans="1:1" x14ac:dyDescent="0.3">
      <c r="A266" s="496" t="s">
        <v>1560</v>
      </c>
    </row>
    <row r="267" spans="1:1" x14ac:dyDescent="0.3">
      <c r="A267" s="496" t="s">
        <v>1561</v>
      </c>
    </row>
    <row r="268" spans="1:1" x14ac:dyDescent="0.3">
      <c r="A268" s="496" t="s">
        <v>1562</v>
      </c>
    </row>
    <row r="269" spans="1:1" x14ac:dyDescent="0.3">
      <c r="A269" s="496" t="s">
        <v>1563</v>
      </c>
    </row>
    <row r="270" spans="1:1" x14ac:dyDescent="0.3">
      <c r="A270" s="496" t="s">
        <v>1564</v>
      </c>
    </row>
    <row r="271" spans="1:1" x14ac:dyDescent="0.3">
      <c r="A271" s="496" t="s">
        <v>1565</v>
      </c>
    </row>
    <row r="272" spans="1:1" x14ac:dyDescent="0.3">
      <c r="A272" s="496" t="s">
        <v>1566</v>
      </c>
    </row>
    <row r="273" spans="1:1" x14ac:dyDescent="0.3">
      <c r="A273" s="496" t="s">
        <v>1567</v>
      </c>
    </row>
    <row r="274" spans="1:1" x14ac:dyDescent="0.3">
      <c r="A274" s="496" t="s">
        <v>1568</v>
      </c>
    </row>
    <row r="275" spans="1:1" x14ac:dyDescent="0.3">
      <c r="A275" s="496" t="s">
        <v>1569</v>
      </c>
    </row>
    <row r="276" spans="1:1" x14ac:dyDescent="0.3">
      <c r="A276" s="496" t="s">
        <v>1570</v>
      </c>
    </row>
    <row r="277" spans="1:1" x14ac:dyDescent="0.3">
      <c r="A277" s="496" t="s">
        <v>1571</v>
      </c>
    </row>
    <row r="278" spans="1:1" x14ac:dyDescent="0.3">
      <c r="A278" s="496" t="s">
        <v>1572</v>
      </c>
    </row>
    <row r="279" spans="1:1" x14ac:dyDescent="0.3">
      <c r="A279" s="496" t="s">
        <v>1573</v>
      </c>
    </row>
    <row r="280" spans="1:1" x14ac:dyDescent="0.3">
      <c r="A280" s="496" t="s">
        <v>1574</v>
      </c>
    </row>
    <row r="281" spans="1:1" x14ac:dyDescent="0.3">
      <c r="A281" s="496" t="s">
        <v>1575</v>
      </c>
    </row>
    <row r="282" spans="1:1" x14ac:dyDescent="0.3">
      <c r="A282" s="496" t="s">
        <v>1576</v>
      </c>
    </row>
    <row r="283" spans="1:1" x14ac:dyDescent="0.3">
      <c r="A283" s="496" t="s">
        <v>1577</v>
      </c>
    </row>
    <row r="284" spans="1:1" x14ac:dyDescent="0.3">
      <c r="A284" s="496" t="s">
        <v>1578</v>
      </c>
    </row>
    <row r="285" spans="1:1" x14ac:dyDescent="0.3">
      <c r="A285" s="496" t="s">
        <v>1579</v>
      </c>
    </row>
    <row r="286" spans="1:1" x14ac:dyDescent="0.3">
      <c r="A286" s="496" t="s">
        <v>1580</v>
      </c>
    </row>
    <row r="287" spans="1:1" x14ac:dyDescent="0.3">
      <c r="A287" s="496" t="s">
        <v>1581</v>
      </c>
    </row>
    <row r="288" spans="1:1" x14ac:dyDescent="0.3">
      <c r="A288" s="496" t="s">
        <v>1582</v>
      </c>
    </row>
    <row r="289" spans="1:1" x14ac:dyDescent="0.3">
      <c r="A289" s="496" t="s">
        <v>1583</v>
      </c>
    </row>
    <row r="290" spans="1:1" x14ac:dyDescent="0.3">
      <c r="A290" s="496" t="s">
        <v>1584</v>
      </c>
    </row>
    <row r="291" spans="1:1" x14ac:dyDescent="0.3">
      <c r="A291" s="496" t="s">
        <v>1585</v>
      </c>
    </row>
    <row r="292" spans="1:1" x14ac:dyDescent="0.3">
      <c r="A292" s="496" t="s">
        <v>1586</v>
      </c>
    </row>
    <row r="293" spans="1:1" x14ac:dyDescent="0.3">
      <c r="A293" s="496" t="s">
        <v>1587</v>
      </c>
    </row>
    <row r="294" spans="1:1" x14ac:dyDescent="0.3">
      <c r="A294" s="496" t="s">
        <v>1588</v>
      </c>
    </row>
    <row r="295" spans="1:1" x14ac:dyDescent="0.3">
      <c r="A295" s="496" t="s">
        <v>1589</v>
      </c>
    </row>
    <row r="296" spans="1:1" x14ac:dyDescent="0.3">
      <c r="A296" s="496" t="s">
        <v>1590</v>
      </c>
    </row>
    <row r="297" spans="1:1" x14ac:dyDescent="0.3">
      <c r="A297" s="496" t="s">
        <v>1591</v>
      </c>
    </row>
    <row r="298" spans="1:1" x14ac:dyDescent="0.3">
      <c r="A298" s="496" t="s">
        <v>1592</v>
      </c>
    </row>
    <row r="299" spans="1:1" x14ac:dyDescent="0.3">
      <c r="A299" s="496" t="s">
        <v>1593</v>
      </c>
    </row>
    <row r="300" spans="1:1" x14ac:dyDescent="0.3">
      <c r="A300" s="496" t="s">
        <v>1594</v>
      </c>
    </row>
    <row r="301" spans="1:1" x14ac:dyDescent="0.3">
      <c r="A301" s="496" t="s">
        <v>1595</v>
      </c>
    </row>
    <row r="302" spans="1:1" x14ac:dyDescent="0.3">
      <c r="A302" s="496" t="s">
        <v>1596</v>
      </c>
    </row>
    <row r="303" spans="1:1" x14ac:dyDescent="0.3">
      <c r="A303" s="496" t="s">
        <v>1597</v>
      </c>
    </row>
    <row r="304" spans="1:1" x14ac:dyDescent="0.3">
      <c r="A304" s="496" t="s">
        <v>1598</v>
      </c>
    </row>
    <row r="305" spans="1:1" x14ac:dyDescent="0.3">
      <c r="A305" s="496" t="s">
        <v>1599</v>
      </c>
    </row>
    <row r="306" spans="1:1" x14ac:dyDescent="0.3">
      <c r="A306" s="496" t="s">
        <v>1600</v>
      </c>
    </row>
    <row r="307" spans="1:1" x14ac:dyDescent="0.3">
      <c r="A307" s="496" t="s">
        <v>1601</v>
      </c>
    </row>
    <row r="308" spans="1:1" x14ac:dyDescent="0.3">
      <c r="A308" s="496" t="s">
        <v>1602</v>
      </c>
    </row>
    <row r="309" spans="1:1" x14ac:dyDescent="0.3">
      <c r="A309" s="496" t="s">
        <v>1603</v>
      </c>
    </row>
    <row r="310" spans="1:1" x14ac:dyDescent="0.3">
      <c r="A310" s="496" t="s">
        <v>1604</v>
      </c>
    </row>
    <row r="311" spans="1:1" x14ac:dyDescent="0.3">
      <c r="A311" s="496" t="s">
        <v>1605</v>
      </c>
    </row>
    <row r="312" spans="1:1" x14ac:dyDescent="0.3">
      <c r="A312" s="496" t="s">
        <v>1606</v>
      </c>
    </row>
    <row r="313" spans="1:1" x14ac:dyDescent="0.3">
      <c r="A313" s="496" t="s">
        <v>1607</v>
      </c>
    </row>
    <row r="314" spans="1:1" x14ac:dyDescent="0.3">
      <c r="A314" s="496" t="s">
        <v>1608</v>
      </c>
    </row>
    <row r="315" spans="1:1" x14ac:dyDescent="0.3">
      <c r="A315" s="496" t="s">
        <v>1609</v>
      </c>
    </row>
    <row r="316" spans="1:1" x14ac:dyDescent="0.3">
      <c r="A316" s="496" t="s">
        <v>1610</v>
      </c>
    </row>
    <row r="317" spans="1:1" x14ac:dyDescent="0.3">
      <c r="A317" s="496" t="s">
        <v>1611</v>
      </c>
    </row>
    <row r="318" spans="1:1" x14ac:dyDescent="0.3">
      <c r="A318" s="496" t="s">
        <v>1612</v>
      </c>
    </row>
    <row r="319" spans="1:1" x14ac:dyDescent="0.3">
      <c r="A319" s="496" t="s">
        <v>1613</v>
      </c>
    </row>
    <row r="320" spans="1:1" x14ac:dyDescent="0.3">
      <c r="A320" s="496" t="s">
        <v>1614</v>
      </c>
    </row>
    <row r="321" spans="1:1" x14ac:dyDescent="0.3">
      <c r="A321" s="496" t="s">
        <v>1615</v>
      </c>
    </row>
    <row r="322" spans="1:1" x14ac:dyDescent="0.3">
      <c r="A322" s="496" t="s">
        <v>1616</v>
      </c>
    </row>
    <row r="323" spans="1:1" x14ac:dyDescent="0.3">
      <c r="A323" s="496" t="s">
        <v>1617</v>
      </c>
    </row>
    <row r="324" spans="1:1" x14ac:dyDescent="0.3">
      <c r="A324" s="496" t="s">
        <v>1618</v>
      </c>
    </row>
    <row r="325" spans="1:1" x14ac:dyDescent="0.3">
      <c r="A325" s="496" t="s">
        <v>1619</v>
      </c>
    </row>
    <row r="326" spans="1:1" x14ac:dyDescent="0.3">
      <c r="A326" s="496" t="s">
        <v>1620</v>
      </c>
    </row>
    <row r="327" spans="1:1" x14ac:dyDescent="0.3">
      <c r="A327" s="496" t="s">
        <v>1621</v>
      </c>
    </row>
    <row r="328" spans="1:1" x14ac:dyDescent="0.3">
      <c r="A328" s="496" t="s">
        <v>1622</v>
      </c>
    </row>
    <row r="329" spans="1:1" x14ac:dyDescent="0.3">
      <c r="A329" s="496" t="s">
        <v>1623</v>
      </c>
    </row>
    <row r="330" spans="1:1" x14ac:dyDescent="0.3">
      <c r="A330" s="496" t="s">
        <v>1624</v>
      </c>
    </row>
    <row r="331" spans="1:1" x14ac:dyDescent="0.3">
      <c r="A331" s="496" t="s">
        <v>1625</v>
      </c>
    </row>
    <row r="332" spans="1:1" x14ac:dyDescent="0.3">
      <c r="A332" s="496" t="s">
        <v>1626</v>
      </c>
    </row>
    <row r="333" spans="1:1" x14ac:dyDescent="0.3">
      <c r="A333" s="496" t="s">
        <v>1627</v>
      </c>
    </row>
    <row r="334" spans="1:1" x14ac:dyDescent="0.3">
      <c r="A334" s="496" t="s">
        <v>1628</v>
      </c>
    </row>
    <row r="335" spans="1:1" x14ac:dyDescent="0.3">
      <c r="A335" s="496" t="s">
        <v>1629</v>
      </c>
    </row>
    <row r="336" spans="1:1" x14ac:dyDescent="0.3">
      <c r="A336" s="496" t="s">
        <v>1630</v>
      </c>
    </row>
    <row r="337" spans="1:1" x14ac:dyDescent="0.3">
      <c r="A337" s="496" t="s">
        <v>1631</v>
      </c>
    </row>
    <row r="338" spans="1:1" x14ac:dyDescent="0.3">
      <c r="A338" s="496" t="s">
        <v>1632</v>
      </c>
    </row>
    <row r="339" spans="1:1" x14ac:dyDescent="0.3">
      <c r="A339" s="496" t="s">
        <v>1633</v>
      </c>
    </row>
    <row r="340" spans="1:1" x14ac:dyDescent="0.3">
      <c r="A340" s="496" t="s">
        <v>1634</v>
      </c>
    </row>
    <row r="341" spans="1:1" x14ac:dyDescent="0.3">
      <c r="A341" s="496" t="s">
        <v>1635</v>
      </c>
    </row>
    <row r="342" spans="1:1" x14ac:dyDescent="0.3">
      <c r="A342" s="496" t="s">
        <v>1636</v>
      </c>
    </row>
    <row r="343" spans="1:1" x14ac:dyDescent="0.3">
      <c r="A343" s="496" t="s">
        <v>1637</v>
      </c>
    </row>
    <row r="344" spans="1:1" x14ac:dyDescent="0.3">
      <c r="A344" s="496" t="s">
        <v>1638</v>
      </c>
    </row>
    <row r="345" spans="1:1" x14ac:dyDescent="0.3">
      <c r="A345" s="496" t="s">
        <v>1639</v>
      </c>
    </row>
    <row r="346" spans="1:1" x14ac:dyDescent="0.3">
      <c r="A346" s="496" t="s">
        <v>1640</v>
      </c>
    </row>
    <row r="347" spans="1:1" x14ac:dyDescent="0.3">
      <c r="A347" s="496" t="s">
        <v>1641</v>
      </c>
    </row>
    <row r="348" spans="1:1" x14ac:dyDescent="0.3">
      <c r="A348" s="496" t="s">
        <v>1642</v>
      </c>
    </row>
    <row r="349" spans="1:1" x14ac:dyDescent="0.3">
      <c r="A349" s="496" t="s">
        <v>1643</v>
      </c>
    </row>
    <row r="350" spans="1:1" x14ac:dyDescent="0.3">
      <c r="A350" s="496" t="s">
        <v>1644</v>
      </c>
    </row>
    <row r="351" spans="1:1" x14ac:dyDescent="0.3">
      <c r="A351" s="496" t="s">
        <v>1645</v>
      </c>
    </row>
    <row r="352" spans="1:1" x14ac:dyDescent="0.3">
      <c r="A352" s="496" t="s">
        <v>1646</v>
      </c>
    </row>
    <row r="353" spans="1:1" x14ac:dyDescent="0.3">
      <c r="A353" s="496" t="s">
        <v>1647</v>
      </c>
    </row>
    <row r="354" spans="1:1" x14ac:dyDescent="0.3">
      <c r="A354" s="496" t="s">
        <v>1648</v>
      </c>
    </row>
    <row r="355" spans="1:1" x14ac:dyDescent="0.3">
      <c r="A355" s="496" t="s">
        <v>1649</v>
      </c>
    </row>
    <row r="356" spans="1:1" x14ac:dyDescent="0.3">
      <c r="A356" s="496" t="s">
        <v>1650</v>
      </c>
    </row>
    <row r="357" spans="1:1" x14ac:dyDescent="0.3">
      <c r="A357" s="496" t="s">
        <v>1651</v>
      </c>
    </row>
    <row r="358" spans="1:1" x14ac:dyDescent="0.3">
      <c r="A358" s="496" t="s">
        <v>1652</v>
      </c>
    </row>
    <row r="359" spans="1:1" x14ac:dyDescent="0.3">
      <c r="A359" s="496" t="s">
        <v>1653</v>
      </c>
    </row>
    <row r="360" spans="1:1" x14ac:dyDescent="0.3">
      <c r="A360" s="496" t="s">
        <v>1654</v>
      </c>
    </row>
    <row r="361" spans="1:1" x14ac:dyDescent="0.3">
      <c r="A361" s="496" t="s">
        <v>1655</v>
      </c>
    </row>
    <row r="362" spans="1:1" x14ac:dyDescent="0.3">
      <c r="A362" s="496" t="s">
        <v>1656</v>
      </c>
    </row>
    <row r="363" spans="1:1" x14ac:dyDescent="0.3">
      <c r="A363" s="496" t="s">
        <v>1657</v>
      </c>
    </row>
    <row r="364" spans="1:1" x14ac:dyDescent="0.3">
      <c r="A364" s="496" t="s">
        <v>1658</v>
      </c>
    </row>
    <row r="365" spans="1:1" x14ac:dyDescent="0.3">
      <c r="A365" s="496" t="s">
        <v>1659</v>
      </c>
    </row>
    <row r="366" spans="1:1" x14ac:dyDescent="0.3">
      <c r="A366" s="496" t="s">
        <v>1660</v>
      </c>
    </row>
    <row r="367" spans="1:1" x14ac:dyDescent="0.3">
      <c r="A367" s="496" t="s">
        <v>1661</v>
      </c>
    </row>
    <row r="368" spans="1:1" x14ac:dyDescent="0.3">
      <c r="A368" s="496" t="s">
        <v>1662</v>
      </c>
    </row>
    <row r="369" spans="1:1" x14ac:dyDescent="0.3">
      <c r="A369" s="496" t="s">
        <v>1663</v>
      </c>
    </row>
    <row r="370" spans="1:1" x14ac:dyDescent="0.3">
      <c r="A370" s="496" t="s">
        <v>1664</v>
      </c>
    </row>
    <row r="371" spans="1:1" x14ac:dyDescent="0.3">
      <c r="A371" s="496" t="s">
        <v>1665</v>
      </c>
    </row>
    <row r="372" spans="1:1" x14ac:dyDescent="0.3">
      <c r="A372" s="496" t="s">
        <v>1666</v>
      </c>
    </row>
    <row r="373" spans="1:1" x14ac:dyDescent="0.3">
      <c r="A373" s="496" t="s">
        <v>1667</v>
      </c>
    </row>
    <row r="374" spans="1:1" x14ac:dyDescent="0.3">
      <c r="A374" s="496" t="s">
        <v>1668</v>
      </c>
    </row>
    <row r="375" spans="1:1" x14ac:dyDescent="0.3">
      <c r="A375" s="496" t="s">
        <v>1669</v>
      </c>
    </row>
    <row r="376" spans="1:1" x14ac:dyDescent="0.3">
      <c r="A376" s="496" t="s">
        <v>1670</v>
      </c>
    </row>
    <row r="377" spans="1:1" x14ac:dyDescent="0.3">
      <c r="A377" s="496" t="s">
        <v>1671</v>
      </c>
    </row>
    <row r="378" spans="1:1" x14ac:dyDescent="0.3">
      <c r="A378" s="496" t="s">
        <v>1672</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6" ma:contentTypeDescription="Create a new document." ma:contentTypeScope="" ma:versionID="3afcf072e528b60f8e656552a3862272">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e572c2dfc9827aaff246135330160b6f"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C8C6B2-9719-4C0C-8A7F-E80E794A3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D8E80E-3650-4921-9D0F-F779F71661B1}">
  <ds:schemaRefs>
    <ds:schemaRef ds:uri="http://purl.org/dc/terms/"/>
    <ds:schemaRef ds:uri="http://purl.org/dc/elements/1.1/"/>
    <ds:schemaRef ds:uri="c2882a20-fcb3-4e62-b082-ac21ed701140"/>
    <ds:schemaRef ds:uri="http://schemas.microsoft.com/office/2006/documentManagement/types"/>
    <ds:schemaRef ds:uri="http://schemas.microsoft.com/office/infopath/2007/PartnerControls"/>
    <ds:schemaRef ds:uri="http://schemas.microsoft.com/office/2006/metadata/properties"/>
    <ds:schemaRef ds:uri="662745e8-e224-48e8-a2e3-254862b8c2f5"/>
    <ds:schemaRef ds:uri="http://purl.org/dc/dcmitype/"/>
    <ds:schemaRef ds:uri="http://schemas.openxmlformats.org/package/2006/metadata/core-properties"/>
    <ds:schemaRef ds:uri="e76eb3f9-f7d4-4afe-8d75-1839375753c6"/>
    <ds:schemaRef ds:uri="http://www.w3.org/XML/1998/namespace"/>
  </ds:schemaRefs>
</ds:datastoreItem>
</file>

<file path=customXml/itemProps3.xml><?xml version="1.0" encoding="utf-8"?>
<ds:datastoreItem xmlns:ds="http://schemas.openxmlformats.org/officeDocument/2006/customXml" ds:itemID="{D4547E49-D978-42D5-83A3-830A6F3A0B9B}">
  <ds:schemaRefs>
    <ds:schemaRef ds:uri="Microsoft.SharePoint.Taxonomy.ContentTypeSync"/>
  </ds:schemaRefs>
</ds:datastoreItem>
</file>

<file path=customXml/itemProps4.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58</vt:i4>
      </vt:variant>
    </vt:vector>
  </HeadingPairs>
  <TitlesOfParts>
    <vt:vector size="99"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'Headline Results'!Print_Area</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Anthony Nickson</cp:lastModifiedBy>
  <cp:revision/>
  <cp:lastPrinted>2024-05-14T11:47:09Z</cp:lastPrinted>
  <dcterms:created xsi:type="dcterms:W3CDTF">2018-04-09T09:41:18Z</dcterms:created>
  <dcterms:modified xsi:type="dcterms:W3CDTF">2024-05-14T12:20:53Z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