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66925"/>
  <mc:AlternateContent xmlns:mc="http://schemas.openxmlformats.org/markup-compatibility/2006">
    <mc:Choice Requires="x15">
      <x15ac:absPath xmlns:x15ac="http://schemas.microsoft.com/office/spreadsheetml/2010/11/ac" url="https://nathaniellichfieldpartners-my.sharepoint.com/personal/henry_mackenzie_lichfields_uk/Documents/Desktop/McDonald's/Molesworth Street/Final/Documents/"/>
    </mc:Choice>
  </mc:AlternateContent>
  <xr:revisionPtr revIDLastSave="0" documentId="8_{CC6CA173-136D-471C-82E1-F48CD6F33B23}"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28920" yWindow="-120" windowWidth="29040" windowHeight="16440"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0" l="1"/>
  <c r="E18" i="15"/>
  <c r="E19" i="15"/>
  <c r="E17" i="15"/>
  <c r="E14" i="15"/>
  <c r="E15" i="15"/>
  <c r="E13" i="15"/>
  <c r="I61" i="1"/>
  <c r="K32" i="1"/>
  <c r="J32" i="1"/>
  <c r="I32" i="1"/>
  <c r="I33" i="1" s="1"/>
  <c r="I33" i="22"/>
  <c r="I32" i="22"/>
  <c r="I60"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27" i="1" l="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F114" i="21"/>
  <c r="E114" i="21"/>
  <c r="I112" i="21" s="1"/>
  <c r="G107" i="22"/>
  <c r="I106" i="22" s="1"/>
  <c r="E97" i="22" s="1" a="1"/>
  <c r="E97" i="22" s="1"/>
  <c r="G116" i="21"/>
  <c r="G108" i="22"/>
  <c r="G109" i="22"/>
  <c r="F115" i="21"/>
  <c r="F116" i="21"/>
  <c r="F117" i="21" s="1"/>
  <c r="G115" i="21"/>
  <c r="D38" i="11"/>
  <c r="D37" i="11"/>
  <c r="D21" i="11"/>
  <c r="E21" i="11" s="1" a="1"/>
  <c r="E21" i="11" s="1"/>
  <c r="H113" i="21" l="1"/>
  <c r="E97" i="21" s="1" a="1"/>
  <c r="E97" i="21" s="1"/>
  <c r="I108" i="21"/>
  <c r="D25" i="11"/>
  <c r="E25" i="11" s="1" a="1"/>
  <c r="E25" i="11" s="1"/>
  <c r="J106" i="22"/>
  <c r="D20" i="11"/>
  <c r="E20" i="11" s="1" a="1"/>
  <c r="E20" i="11" s="1"/>
  <c r="I113" i="21" l="1"/>
  <c r="F25" i="1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F131" i="1" s="1"/>
  <c r="L12" i="1"/>
  <c r="F128" i="1" s="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I131" i="1" s="1"/>
  <c r="J131" i="1" s="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<sst xmlns="http://schemas.openxmlformats.org/spreadsheetml/2006/main" count="3167" uniqueCount="1056">
  <si>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</si>
  <si>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</si>
  <si>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</si>
  <si>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</si>
  <si>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</si>
  <si>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</si>
  <si>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</si>
  <si>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</si>
  <si>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</si>
  <si>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</si>
  <si>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</si>
  <si>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</si>
  <si>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</si>
  <si>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</si>
  <si>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</si>
  <si>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</si>
  <si>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</si>
  <si>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</si>
  <si>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</si>
  <si>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</si>
  <si>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</si>
  <si>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</si>
  <si>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</si>
  <si>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</si>
  <si>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</si>
  <si>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</si>
  <si>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</si>
  <si>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</si>
  <si>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</si>
  <si>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</si>
  <si>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</si>
  <si>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</si>
  <si>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</si>
  <si>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</si>
  <si>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</si>
  <si>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</si>
  <si>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</si>
  <si>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</si>
  <si>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</si>
  <si>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</si>
  <si>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</si>
  <si>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</si>
  <si>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</si>
  <si>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</si>
  <si>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</si>
  <si>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</si>
  <si>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</si>
  <si>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</si>
  <si>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</si>
  <si>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</si>
  <si>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</si>
  <si>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</si>
  <si>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</si>
  <si>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</si>
  <si>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</si>
  <si>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</si>
  <si>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</si>
  <si>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</si>
  <si>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</si>
  <si>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</si>
  <si>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</si>
  <si>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</si>
  <si>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</si>
  <si>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</si>
  <si>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</si>
  <si>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</si>
  <si>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</si>
  <si>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</si>
  <si>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</si>
  <si>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</si>
  <si>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</si>
  <si>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</si>
  <si>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</si>
  <si>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</si>
  <si>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</si>
  <si>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</si>
  <si>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</si>
  <si>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</si>
  <si>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</si>
  <si>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</si>
  <si>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</si>
  <si>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</si>
  <si>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</si>
  <si>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</si>
  <si>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</si>
  <si>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</si>
  <si>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</si>
  <si>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</si>
  <si>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</si>
  <si>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</si>
  <si>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</si>
  <si>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</si>
  <si>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</si>
  <si>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</si>
  <si>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</si>
  <si>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</si>
  <si>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</si>
  <si>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</si>
  <si>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</si>
  <si>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</si>
  <si>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</si>
  <si>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</si>
  <si>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</si>
  <si>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</si>
  <si>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</si>
  <si>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</si>
  <si>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</si>
  <si>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</si>
  <si>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</si>
  <si>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</si>
  <si>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</si>
  <si>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</si>
  <si>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</si>
  <si>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</si>
  <si>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</si>
  <si>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</si>
  <si>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</si>
  <si>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</si>
  <si>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</si>
  <si>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</si>
  <si>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</si>
  <si>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</si>
  <si>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</si>
  <si>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</si>
  <si>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</si>
  <si>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</si>
  <si>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</si>
  <si>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</si>
  <si>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</si>
  <si>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</si>
  <si>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</si>
  <si>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</si>
  <si>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</si>
  <si>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</si>
  <si>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</si>
  <si>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</si>
  <si>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</si>
  <si>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</si>
  <si>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</si>
  <si>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</si>
  <si>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</si>
  <si>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</si>
  <si>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</si>
  <si>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</si>
  <si>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</si>
  <si>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</si>
  <si>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</si>
  <si>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</si>
  <si>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</si>
  <si>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</si>
  <si>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</si>
  <si>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</si>
  <si>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</si>
  <si>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</si>
  <si>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</si>
  <si>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</si>
  <si>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</si>
  <si>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</si>
  <si>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</si>
  <si>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</si>
  <si>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</si>
  <si>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</si>
  <si>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</si>
  <si>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</si>
  <si>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</si>
  <si>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</si>
  <si>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</si>
  <si>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</si>
  <si>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</si>
  <si>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</si>
  <si>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</si>
  <si>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</si>
  <si>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</si>
  <si>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</si>
  <si>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</si>
  <si>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</si>
  <si>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</si>
  <si>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</si>
  <si>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</si>
  <si>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</si>
  <si>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</si>
  <si>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</si>
  <si>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</si>
  <si>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</si>
  <si>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</si>
  <si>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</si>
  <si>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</si>
  <si>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</si>
  <si>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</si>
  <si>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</si>
  <si>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</si>
  <si>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</si>
  <si>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</si>
  <si>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</si>
  <si>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</si>
  <si>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</si>
  <si>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</si>
  <si>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</si>
  <si>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</si>
  <si>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</si>
  <si>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</si>
  <si>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</si>
  <si>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</si>
  <si>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</si>
  <si>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</si>
  <si>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</si>
  <si>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</si>
  <si>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</si>
  <si>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</si>
  <si>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</si>
  <si>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</si>
  <si>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</si>
  <si>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</si>
  <si>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</si>
  <si>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</si>
  <si>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</si>
  <si>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</si>
  <si>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</si>
  <si>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</si>
  <si>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</si>
  <si>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</si>
  <si>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</si>
  <si>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</si>
  <si>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</si>
  <si>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</si>
  <si>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</si>
  <si>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</si>
  <si>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</si>
  <si>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</si>
  <si>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</si>
  <si>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</si>
  <si>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</si>
  <si>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</si>
  <si>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</si>
  <si>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</si>
  <si>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</si>
  <si>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</si>
  <si>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</si>
  <si>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</si>
  <si>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</si>
  <si>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</si>
  <si>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</si>
  <si>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</si>
  <si>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</si>
  <si>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</si>
  <si>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</si>
  <si>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</si>
  <si>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</si>
  <si>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</si>
  <si>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</si>
  <si>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</si>
  <si>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</si>
  <si>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</si>
  <si>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</si>
  <si>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</si>
  <si>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</si>
  <si>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</si>
  <si>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</si>
  <si>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</si>
  <si>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</si>
  <si>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</si>
  <si>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</si>
  <si>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</si>
  <si>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</si>
  <si>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</si>
  <si>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</si>
  <si>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</si>
  <si>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</si>
  <si>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</si>
  <si>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</si>
  <si>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</si>
  <si>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</si>
  <si>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</si>
  <si>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</si>
  <si>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</si>
  <si>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</si>
  <si>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</si>
  <si>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</si>
  <si>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</si>
  <si>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</si>
  <si>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</si>
  <si>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</si>
  <si>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</si>
  <si>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</si>
  <si>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</si>
  <si>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</si>
  <si>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</si>
  <si>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</si>
  <si>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</si>
  <si>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</si>
  <si>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</si>
  <si>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</si>
  <si>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</si>
  <si>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</si>
  <si>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</si>
  <si>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</si>
  <si>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</si>
  <si>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</si>
  <si>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</si>
  <si>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</si>
  <si>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</si>
  <si>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</si>
  <si>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</si>
  <si>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</si>
  <si>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</si>
  <si>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</si>
  <si>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</si>
  <si>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</si>
  <si>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</si>
  <si>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</si>
  <si>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</si>
  <si>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</si>
  <si>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</si>
  <si>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</si>
  <si>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</si>
  <si>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</si>
  <si>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</si>
  <si>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</si>
  <si>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</si>
  <si>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</si>
  <si>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</si>
  <si>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</si>
  <si>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</si>
  <si>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</si>
  <si>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</si>
  <si>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</si>
  <si>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</si>
  <si>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</si>
  <si>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</si>
  <si>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</si>
  <si>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</si>
  <si>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</si>
  <si>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</si>
  <si>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</si>
  <si>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</si>
  <si>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</si>
  <si>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</si>
  <si>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</si>
  <si>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</si>
  <si>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</si>
  <si>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</si>
  <si>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</si>
  <si>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</si>
  <si>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</si>
  <si>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</si>
  <si>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</si>
  <si>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</si>
  <si>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</si>
  <si>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</si>
  <si>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</si>
  <si>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</si>
  <si>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</si>
  <si>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</si>
  <si>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</si>
  <si>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</si>
  <si>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</si>
  <si>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</si>
  <si>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</si>
  <si>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</si>
  <si>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</si>
  <si>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</si>
  <si>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</si>
  <si>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</si>
  <si>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</si>
  <si>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</si>
  <si>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</si>
  <si>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</si>
  <si>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</si>
  <si>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</si>
  <si>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</si>
  <si>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</si>
  <si>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</si>
  <si>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</si>
  <si>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</si>
  <si>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</si>
  <si>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</si>
  <si>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</si>
  <si>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</si>
  <si>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</si>
  <si>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</si>
  <si>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</si>
  <si>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</si>
  <si>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</si>
  <si>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</si>
  <si>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</si>
  <si>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</si>
  <si>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</si>
  <si>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</si>
  <si>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</si>
  <si>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</si>
  <si>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</si>
  <si>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</si>
  <si>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</si>
  <si>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</si>
  <si>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</si>
  <si>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</si>
  <si>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</si>
  <si>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</si>
  <si>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</si>
  <si>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</si>
  <si>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</si>
  <si>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</si>
  <si>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</si>
  <si>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</si>
  <si>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</si>
  <si>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</si>
  <si>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</si>
  <si>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</si>
  <si>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</si>
  <si>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</si>
  <si>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</si>
  <si>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</si>
  <si>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</si>
  <si>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</si>
  <si>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</si>
  <si>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</si>
  <si>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</si>
  <si>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</si>
  <si>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</si>
  <si>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</si>
  <si>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</si>
  <si>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</si>
  <si>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</si>
  <si>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</si>
  <si>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</si>
  <si>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</si>
  <si>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</si>
  <si>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</si>
  <si>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</si>
  <si>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</si>
  <si>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</si>
  <si>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</si>
  <si>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</si>
  <si>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</si>
  <si>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</si>
  <si>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</si>
  <si>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</si>
  <si>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</si>
  <si>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</si>
  <si>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</si>
  <si>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</si>
  <si>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</si>
  <si>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</si>
  <si>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</si>
  <si>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</si>
  <si>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</si>
  <si>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</si>
  <si>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</si>
  <si>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</si>
  <si>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</si>
  <si>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</si>
  <si>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</si>
  <si>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</si>
  <si>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</si>
  <si>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</si>
  <si>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</si>
  <si>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</si>
  <si>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</si>
  <si>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</si>
  <si>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</si>
  <si>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</si>
  <si>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</si>
  <si>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</si>
  <si>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</si>
  <si>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</si>
  <si>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</si>
  <si>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</si>
  <si>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</si>
  <si>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</si>
  <si>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</si>
  <si>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</si>
  <si>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</si>
  <si>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</si>
  <si>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</si>
  <si>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</si>
  <si>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</si>
  <si>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</si>
  <si>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</si>
  <si>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</si>
  <si>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</si>
  <si>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</si>
  <si>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</si>
  <si>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</si>
  <si>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</si>
  <si>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</si>
  <si>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</si>
  <si>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</si>
  <si>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</si>
  <si>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</si>
  <si>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</si>
  <si>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</si>
  <si>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</si>
  <si>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</si>
  <si>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</si>
  <si>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</si>
  <si>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</si>
  <si>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</si>
  <si>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</si>
  <si>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</si>
  <si>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</si>
  <si>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</si>
  <si>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</si>
  <si>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</si>
  <si>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</si>
  <si>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</si>
  <si>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</si>
  <si>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</si>
  <si>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</si>
  <si>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</si>
  <si>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</si>
  <si>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</si>
  <si>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</si>
  <si>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</si>
  <si>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</si>
  <si>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</si>
  <si>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</si>
  <si>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</si>
  <si>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</si>
  <si>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</si>
  <si>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</si>
  <si>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</si>
  <si>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</si>
  <si>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</si>
  <si>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</si>
  <si>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</si>
  <si>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</si>
  <si>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</si>
  <si>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</si>
  <si>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</si>
  <si>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</si>
  <si>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</si>
  <si>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</si>
  <si>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</si>
  <si>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</si>
  <si>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</si>
  <si>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</si>
  <si>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</si>
  <si>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</si>
  <si>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</si>
  <si>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</si>
  <si>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</si>
  <si>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</si>
  <si>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</si>
  <si>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</si>
  <si>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</si>
  <si>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</si>
  <si>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</si>
  <si>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</si>
  <si>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</si>
  <si>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</si>
  <si>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</si>
  <si>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</si>
  <si>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</si>
  <si>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</si>
  <si>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</si>
  <si>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</si>
  <si>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</si>
  <si>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</si>
  <si>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</si>
  <si>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</si>
  <si>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</si>
  <si>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</si>
  <si>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</si>
  <si>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</si>
  <si>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</si>
  <si>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</si>
  <si>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</si>
  <si>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</si>
  <si>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</si>
  <si>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</si>
  <si>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</si>
  <si>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</si>
  <si>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</si>
  <si>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</si>
  <si>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</si>
  <si>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</si>
  <si>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</si>
  <si>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</si>
  <si>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</si>
  <si>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</si>
  <si>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</si>
  <si>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</si>
  <si>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</si>
  <si>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</si>
  <si>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</si>
  <si>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</si>
  <si>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</si>
  <si>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</si>
  <si>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</si>
  <si>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</si>
  <si>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</si>
  <si>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</si>
  <si>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</si>
  <si>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</si>
  <si>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</si>
  <si>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</si>
  <si>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</si>
  <si>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</si>
  <si>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</si>
  <si>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</si>
  <si>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</si>
  <si>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</si>
  <si>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</si>
  <si>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</si>
  <si>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</si>
  <si>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</si>
  <si>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</si>
  <si>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</si>
  <si>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</si>
  <si>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</si>
  <si>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</si>
  <si>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</si>
  <si>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</si>
  <si>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</si>
  <si>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</si>
  <si>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</si>
  <si>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</si>
  <si>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</si>
  <si>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</si>
  <si>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</si>
  <si>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</si>
  <si>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</si>
  <si>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</si>
  <si>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</si>
  <si>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</si>
  <si>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</si>
  <si>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</si>
  <si>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</si>
  <si>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</si>
  <si>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</si>
  <si>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</si>
  <si>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</si>
  <si>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</si>
  <si>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</si>
  <si>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</si>
  <si>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</si>
  <si>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</si>
  <si>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</si>
  <si>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</si>
  <si>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</si>
  <si>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</si>
  <si>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</si>
  <si>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</si>
  <si>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</si>
  <si>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</si>
  <si>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</si>
  <si>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</si>
  <si>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</si>
  <si>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</si>
  <si>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</si>
  <si>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</si>
  <si>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</si>
  <si>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</si>
  <si>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</si>
  <si>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</si>
  <si>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</si>
  <si>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</si>
  <si>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</si>
  <si>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</si>
  <si>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</si>
  <si>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</si>
  <si>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</si>
  <si>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</si>
  <si>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</si>
  <si>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</si>
  <si>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</si>
  <si>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</si>
  <si>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</si>
  <si>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</si>
  <si>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</si>
  <si>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</si>
  <si>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</si>
  <si>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</si>
  <si>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</si>
  <si>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</si>
  <si>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</si>
  <si>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</si>
  <si>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</si>
  <si>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</si>
  <si>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</si>
  <si>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</si>
  <si>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</si>
  <si>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</si>
  <si>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</si>
  <si>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</si>
  <si>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</si>
  <si>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</si>
  <si>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</si>
  <si>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</si>
  <si>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</si>
  <si>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</si>
  <si>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</si>
  <si>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</si>
  <si>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</si>
  <si>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</si>
  <si>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</si>
  <si>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</si>
  <si>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</si>
  <si>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</si>
  <si>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</si>
  <si>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</si>
  <si>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</si>
  <si>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</si>
  <si>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</si>
  <si>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</si>
  <si>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</si>
  <si>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</si>
  <si>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</si>
  <si>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</si>
  <si>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</si>
  <si>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</si>
  <si>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</si>
  <si>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</si>
  <si>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</si>
  <si>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</si>
  <si>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</si>
  <si>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</si>
  <si>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</si>
  <si>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</si>
  <si>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</si>
  <si>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</si>
  <si>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</si>
  <si>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</si>
  <si>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</si>
  <si>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</si>
  <si>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</si>
  <si>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</si>
  <si>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</si>
  <si>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</si>
  <si>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</si>
  <si>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</si>
  <si>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</si>
  <si>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</si>
  <si>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</si>
  <si>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</si>
  <si>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</si>
  <si>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</si>
  <si>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</si>
  <si>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</si>
  <si>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</si>
  <si>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</si>
  <si>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</si>
  <si>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</si>
  <si>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</si>
  <si>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</si>
  <si>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</si>
  <si>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</si>
  <si>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</si>
  <si>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</si>
  <si>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</si>
  <si>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</si>
  <si>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</si>
  <si>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</si>
  <si>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</si>
  <si>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</si>
  <si>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</si>
  <si>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</si>
  <si>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</si>
  <si>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</si>
  <si>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</si>
  <si>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</si>
  <si>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</si>
  <si>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</si>
  <si>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</si>
  <si>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</si>
  <si>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</si>
  <si>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</si>
  <si>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</si>
  <si>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</si>
  <si>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</si>
  <si>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</si>
  <si>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</si>
  <si>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</si>
  <si>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</si>
  <si>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</si>
  <si>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</si>
  <si>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</si>
  <si>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</si>
  <si>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</si>
  <si>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</si>
  <si>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</si>
  <si>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</si>
  <si>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</si>
  <si>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</si>
  <si>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</si>
  <si>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</si>
  <si>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</si>
  <si>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</si>
  <si>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</si>
  <si>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</si>
  <si>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</si>
  <si>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</si>
  <si>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</si>
  <si>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</si>
  <si>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</si>
  <si>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</si>
  <si>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</si>
  <si>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</si>
  <si>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</si>
  <si>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</si>
  <si>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</si>
  <si>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</si>
  <si>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</si>
  <si>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</si>
  <si>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</si>
  <si>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</si>
  <si>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</si>
  <si>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</si>
  <si>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</si>
  <si>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</si>
  <si>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</si>
  <si>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</si>
  <si>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</si>
  <si>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</si>
  <si>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</si>
  <si>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</si>
  <si>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</si>
  <si>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</si>
  <si>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</si>
  <si>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</si>
  <si>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</si>
  <si>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</si>
  <si>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</si>
  <si>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</si>
  <si>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</si>
  <si>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</si>
  <si>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</si>
  <si>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</si>
  <si>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</si>
  <si>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</si>
  <si>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</si>
  <si>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</si>
  <si>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</si>
  <si>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</si>
  <si>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</si>
  <si>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</si>
  <si>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</si>
  <si>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</si>
  <si>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</si>
  <si>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</si>
  <si>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</si>
  <si>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</si>
  <si>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</si>
  <si>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</si>
  <si>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</si>
  <si>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</si>
  <si>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</si>
  <si>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</si>
  <si>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</si>
  <si>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</si>
  <si>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</si>
  <si>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</si>
  <si>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</si>
  <si>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</si>
  <si>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</si>
  <si>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</si>
  <si>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</si>
  <si>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</si>
  <si>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</si>
  <si>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</si>
  <si>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</si>
  <si>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</si>
  <si>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</si>
  <si>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</si>
  <si>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</si>
  <si>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</si>
  <si>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</si>
  <si>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</si>
  <si>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</si>
  <si>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</si>
  <si>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</si>
  <si>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</si>
  <si>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</si>
  <si>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</si>
  <si>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</si>
  <si>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</si>
  <si>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</si>
  <si>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</si>
  <si>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</si>
  <si>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</si>
  <si>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</si>
  <si>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</si>
  <si>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</si>
  <si>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</si>
  <si>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</si>
  <si>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</si>
  <si>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</si>
  <si>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</si>
  <si>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</si>
  <si>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</si>
  <si>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</si>
  <si>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</si>
  <si>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</si>
  <si>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</si>
  <si>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</si>
  <si>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</si>
  <si>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</si>
  <si>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</si>
  <si>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</si>
  <si>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</si>
  <si>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</si>
  <si>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</si>
  <si>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</si>
  <si>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</si>
  <si>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</si>
  <si>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</si>
  <si>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</si>
  <si>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</si>
  <si>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</si>
  <si>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</si>
  <si>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</si>
  <si>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</si>
  <si>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</si>
  <si>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</si>
  <si>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</si>
  <si>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</si>
  <si>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</si>
  <si>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</si>
  <si>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</si>
  <si>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</si>
  <si>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</si>
  <si>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</si>
  <si>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</si>
  <si>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</si>
  <si>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</si>
  <si>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</si>
  <si>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</si>
  <si>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</si>
  <si>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</si>
  <si>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</si>
  <si>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</si>
  <si>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</si>
  <si>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</si>
  <si>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</si>
  <si>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</si>
  <si>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</si>
  <si>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</si>
  <si>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</si>
  <si>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</si>
  <si>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</si>
  <si>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</si>
  <si>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</si>
  <si>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</si>
  <si>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</si>
  <si>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</si>
  <si>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</si>
  <si>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</si>
  <si>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</si>
  <si>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</si>
  <si>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</si>
  <si>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</si>
  <si>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</si>
  <si>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</si>
  <si>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</si>
  <si>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</si>
  <si>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</si>
  <si>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</si>
  <si>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</si>
  <si>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</si>
  <si>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</si>
  <si>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</si>
  <si>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</si>
  <si>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</si>
  <si>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</si>
  <si>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</si>
  <si>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</si>
  <si>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</si>
  <si>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</si>
  <si>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</si>
  <si>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</si>
  <si>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</si>
  <si>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</si>
  <si>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</si>
  <si>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</si>
  <si>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</si>
  <si>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</si>
  <si>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</si>
  <si>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</si>
  <si>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</si>
  <si>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</si>
  <si>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</si>
  <si>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</si>
  <si>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</si>
  <si>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</si>
  <si>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</si>
  <si>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</si>
  <si>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</si>
  <si>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</si>
  <si>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</si>
  <si>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</si>
  <si>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</si>
  <si>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</si>
  <si>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</si>
  <si>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</si>
  <si>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</si>
  <si>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</si>
  <si>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</si>
  <si>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</si>
  <si>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</si>
  <si>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</si>
  <si>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</si>
  <si>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</si>
  <si>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</si>
  <si>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</si>
  <si>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</si>
  <si>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</si>
  <si>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</si>
  <si>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</si>
  <si>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</si>
  <si>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</si>
  <si>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</si>
  <si>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</si>
  <si>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</si>
  <si>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</si>
  <si>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</si>
  <si>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</si>
  <si>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</si>
  <si>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</si>
  <si>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</si>
  <si>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</si>
  <si>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</si>
  <si>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</si>
  <si>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</si>
  <si>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</si>
  <si>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</si>
  <si>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</si>
  <si>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</si>
  <si>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</si>
  <si>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</si>
  <si>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</si>
  <si>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</si>
  <si>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</si>
  <si>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</si>
  <si>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</si>
  <si>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</si>
  <si>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</si>
  <si>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</si>
  <si>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</si>
  <si>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</si>
  <si>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</si>
  <si>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</si>
  <si>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</si>
  <si>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July 2024</t>
  </si>
  <si>
    <t>23rd July 2024</t>
  </si>
  <si>
    <t>Version 1.2.2</t>
  </si>
  <si>
    <t>Fix made to error specific to Version 1.2.1 relating to area checker on Area Habitats tab.</t>
  </si>
  <si>
    <t>Version 1.2.2 Release Date:</t>
  </si>
  <si>
    <t>24th July 2024</t>
  </si>
  <si>
    <t>Dr Liam Russell CEcol MCIEEM</t>
  </si>
  <si>
    <t>Commercial</t>
  </si>
  <si>
    <t>No</t>
  </si>
  <si>
    <t>Walkover completed by qualified ecologist</t>
  </si>
  <si>
    <t>Dr Liam Russell, Ecologist</t>
  </si>
  <si>
    <t>Ecological Appraisal report</t>
  </si>
  <si>
    <t>Should be read in conjunction with Ecological Appraisal report</t>
  </si>
  <si>
    <t>McDonalds Molesworth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</si>
</sst>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4">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0" fontId="0" fillId="12" borderId="0" xfId="0" applyFill="1" applyProtection="1">
      <protection locked="0"/>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0.33960000000000001</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0.38173855905966159</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abSelected="1" zoomScale="80" zoomScaleNormal="80" workbookViewId="0"/>
  </sheetViews>
  <sheetFormatPr defaultColWidth="0" defaultRowHeight="14.25" zeroHeight="1" x14ac:dyDescent="0.45"/>
  <cols>
    <col min="1" max="1" width="3.59765625" customWidth="1"/>
    <col min="2" max="6" width="8.86328125" customWidth="1"/>
    <col min="7" max="7" width="11.73046875" customWidth="1"/>
    <col min="8" max="8" width="8.86328125" customWidth="1"/>
    <col min="9" max="9" width="12.86328125" customWidth="1"/>
    <col min="10" max="10" width="14.73046875" customWidth="1"/>
    <col min="11" max="18" width="8.86328125" customWidth="1"/>
    <col min="19" max="19" width="3.73046875" customWidth="1"/>
    <col min="20" max="30" width="8.86328125" hidden="1" customWidth="1"/>
    <col min="31" max="16384" width="8.86328125" hidden="1"/>
  </cols>
  <sheetData>
    <row r="1" spans="1:30" x14ac:dyDescent="0.45">
      <c r="A1" s="25"/>
      <c r="B1" s="25"/>
      <c r="C1" s="25"/>
      <c r="D1" s="590"/>
      <c r="E1" s="590"/>
      <c r="F1" s="590"/>
      <c r="G1" s="590"/>
      <c r="H1" s="590"/>
      <c r="I1" s="590"/>
      <c r="J1" s="590"/>
      <c r="K1" s="25"/>
      <c r="L1" s="25"/>
      <c r="M1" s="25"/>
      <c r="N1" s="25"/>
      <c r="O1" s="25"/>
      <c r="P1" s="25"/>
      <c r="Q1" s="25"/>
      <c r="R1" s="25"/>
      <c r="S1" s="25"/>
      <c r="T1" s="25"/>
      <c r="U1" s="25"/>
      <c r="V1" s="25"/>
      <c r="W1" s="25"/>
      <c r="X1" s="25"/>
      <c r="Y1" s="25"/>
      <c r="Z1" s="25"/>
      <c r="AA1" s="25"/>
      <c r="AB1" s="25"/>
      <c r="AC1" s="25"/>
      <c r="AD1" s="25"/>
    </row>
    <row r="2" spans="1:30" x14ac:dyDescent="0.45">
      <c r="A2" s="25"/>
      <c r="B2" s="25"/>
      <c r="C2" s="25"/>
      <c r="D2" s="590"/>
      <c r="E2" s="590"/>
      <c r="F2" s="590"/>
      <c r="G2" s="590"/>
      <c r="H2" s="590"/>
      <c r="I2" s="590"/>
      <c r="J2" s="590"/>
      <c r="K2" s="25"/>
      <c r="L2" s="25"/>
      <c r="M2" s="25"/>
      <c r="N2" s="25"/>
      <c r="O2" s="25"/>
      <c r="P2" s="25"/>
      <c r="Q2" s="25"/>
      <c r="R2" s="25"/>
      <c r="S2" s="25"/>
      <c r="T2" s="25"/>
      <c r="U2" s="25"/>
      <c r="V2" s="25"/>
      <c r="W2" s="25"/>
      <c r="X2" s="25"/>
      <c r="Y2" s="25"/>
      <c r="Z2" s="25"/>
      <c r="AA2" s="25"/>
      <c r="AB2" s="25"/>
      <c r="AC2" s="25"/>
      <c r="AD2" s="25"/>
    </row>
    <row r="3" spans="1:30" x14ac:dyDescent="0.45">
      <c r="A3" s="25"/>
      <c r="B3" s="25"/>
      <c r="C3" s="25"/>
      <c r="D3" s="590"/>
      <c r="E3" s="590"/>
      <c r="F3" s="590"/>
      <c r="G3" s="590"/>
      <c r="H3" s="590"/>
      <c r="I3" s="590"/>
      <c r="J3" s="590"/>
      <c r="K3" s="25"/>
      <c r="L3" s="25"/>
      <c r="M3" s="25"/>
      <c r="N3" s="25"/>
      <c r="O3" s="25"/>
      <c r="P3" s="25"/>
      <c r="Q3" s="25"/>
      <c r="R3" s="25"/>
      <c r="S3" s="25"/>
      <c r="T3" s="25"/>
      <c r="U3" s="25"/>
      <c r="V3" s="25"/>
      <c r="W3" s="25"/>
      <c r="X3" s="25"/>
      <c r="Y3" s="25"/>
      <c r="Z3" s="25"/>
      <c r="AA3" s="25"/>
      <c r="AB3" s="25"/>
      <c r="AC3" s="25"/>
      <c r="AD3" s="25"/>
    </row>
    <row r="4" spans="1:30" x14ac:dyDescent="0.45">
      <c r="A4" s="25"/>
      <c r="B4" s="25"/>
      <c r="C4" s="25"/>
      <c r="D4" s="590"/>
      <c r="E4" s="590"/>
      <c r="F4" s="590"/>
      <c r="G4" s="590"/>
      <c r="H4" s="590"/>
      <c r="I4" s="590"/>
      <c r="J4" s="590"/>
      <c r="K4" s="25"/>
      <c r="L4" s="25"/>
      <c r="M4" s="25"/>
      <c r="N4" s="25"/>
      <c r="O4" s="25"/>
      <c r="P4" s="25"/>
      <c r="Q4" s="25"/>
      <c r="R4" s="25"/>
      <c r="S4" s="25"/>
      <c r="T4" s="25"/>
      <c r="U4" s="25"/>
      <c r="V4" s="25"/>
      <c r="W4" s="25"/>
      <c r="X4" s="25"/>
      <c r="Y4" s="25"/>
      <c r="Z4" s="25"/>
      <c r="AA4" s="25"/>
      <c r="AB4" s="25"/>
      <c r="AC4" s="25"/>
      <c r="AD4" s="25"/>
    </row>
    <row r="5" spans="1:30" x14ac:dyDescent="0.45">
      <c r="A5" s="25"/>
      <c r="B5" s="25"/>
      <c r="C5" s="25"/>
      <c r="D5" s="590"/>
      <c r="E5" s="590"/>
      <c r="F5" s="590"/>
      <c r="G5" s="590"/>
      <c r="H5" s="590"/>
      <c r="I5" s="590"/>
      <c r="J5" s="590"/>
      <c r="K5" s="25"/>
      <c r="L5" s="25"/>
      <c r="M5" s="25"/>
      <c r="N5" s="25"/>
      <c r="O5" s="25"/>
      <c r="P5" s="25"/>
      <c r="Q5" s="25"/>
      <c r="R5" s="25"/>
      <c r="S5" s="25"/>
      <c r="T5" s="25"/>
      <c r="U5" s="25"/>
      <c r="V5" s="25"/>
      <c r="W5" s="25"/>
      <c r="X5" s="25"/>
      <c r="Y5" s="25"/>
      <c r="Z5" s="25"/>
      <c r="AA5" s="25"/>
      <c r="AB5" s="25"/>
      <c r="AC5" s="25"/>
      <c r="AD5" s="25"/>
    </row>
    <row r="6" spans="1:30" x14ac:dyDescent="0.45">
      <c r="A6" s="157" t="s">
        <v>0</v>
      </c>
      <c r="B6" s="592" t="s">
        <v>1031</v>
      </c>
      <c r="C6" s="593"/>
      <c r="D6" s="593"/>
      <c r="E6" s="593"/>
      <c r="F6" s="593"/>
      <c r="G6" s="593"/>
      <c r="H6" s="593"/>
      <c r="I6" s="593"/>
      <c r="J6" s="593"/>
      <c r="K6" s="25"/>
      <c r="L6" s="25"/>
      <c r="M6" s="25"/>
      <c r="N6" s="25"/>
      <c r="O6" s="25"/>
      <c r="P6" s="25"/>
      <c r="Q6" s="25"/>
      <c r="R6" s="25"/>
      <c r="S6" s="25"/>
      <c r="T6" s="25"/>
      <c r="U6" s="25"/>
      <c r="V6" s="25"/>
      <c r="W6" s="25"/>
      <c r="X6" s="25"/>
      <c r="Y6" s="25"/>
      <c r="Z6" s="25"/>
      <c r="AA6" s="25"/>
      <c r="AB6" s="25"/>
      <c r="AC6" s="25"/>
      <c r="AD6" s="25"/>
    </row>
    <row r="7" spans="1:30" x14ac:dyDescent="0.45">
      <c r="A7" s="25"/>
      <c r="B7" s="593"/>
      <c r="C7" s="593"/>
      <c r="D7" s="593"/>
      <c r="E7" s="593"/>
      <c r="F7" s="593"/>
      <c r="G7" s="593"/>
      <c r="H7" s="593"/>
      <c r="I7" s="593"/>
      <c r="J7" s="593"/>
      <c r="K7" s="25"/>
      <c r="L7" s="25"/>
      <c r="M7" s="25"/>
      <c r="N7" s="25"/>
      <c r="O7" s="25"/>
      <c r="P7" s="25"/>
      <c r="Q7" s="25"/>
      <c r="R7" s="25"/>
      <c r="S7" s="25"/>
      <c r="T7" s="25"/>
      <c r="U7" s="25"/>
      <c r="V7" s="25"/>
      <c r="W7" s="25"/>
      <c r="X7" s="25"/>
      <c r="Y7" s="25"/>
      <c r="Z7" s="25"/>
      <c r="AA7" s="25"/>
      <c r="AB7" s="25"/>
      <c r="AC7" s="25"/>
      <c r="AD7" s="25"/>
    </row>
    <row r="8" spans="1:30" ht="28.5" customHeight="1" x14ac:dyDescent="0.45">
      <c r="A8" s="25"/>
      <c r="B8" s="593"/>
      <c r="C8" s="593"/>
      <c r="D8" s="593"/>
      <c r="E8" s="593"/>
      <c r="F8" s="593"/>
      <c r="G8" s="593"/>
      <c r="H8" s="593"/>
      <c r="I8" s="593"/>
      <c r="J8" s="593"/>
      <c r="K8" s="25"/>
      <c r="L8" s="25"/>
      <c r="M8" s="25"/>
      <c r="N8" s="25"/>
      <c r="O8" s="25"/>
      <c r="P8" s="25"/>
      <c r="Q8" s="25"/>
      <c r="R8" s="25"/>
      <c r="S8" s="25"/>
      <c r="T8" s="25"/>
      <c r="U8" s="25"/>
      <c r="V8" s="25"/>
      <c r="W8" s="25"/>
      <c r="X8" s="25"/>
      <c r="Y8" s="25"/>
      <c r="Z8" s="25"/>
      <c r="AA8" s="25"/>
      <c r="AB8" s="25"/>
      <c r="AC8" s="25"/>
      <c r="AD8" s="25"/>
    </row>
    <row r="9" spans="1:30" ht="14.65" customHeight="1" x14ac:dyDescent="0.45">
      <c r="A9" s="25"/>
      <c r="B9" s="594"/>
      <c r="C9" s="594"/>
      <c r="D9" s="594"/>
      <c r="E9" s="594"/>
      <c r="F9" s="594"/>
      <c r="G9" s="594"/>
      <c r="H9" s="594"/>
      <c r="I9" s="594"/>
      <c r="J9" s="594"/>
      <c r="K9" s="25"/>
      <c r="L9" s="25"/>
      <c r="M9" s="25"/>
      <c r="N9" s="25"/>
      <c r="O9" s="25"/>
      <c r="P9" s="25"/>
      <c r="Q9" s="25"/>
      <c r="R9" s="25"/>
      <c r="S9" s="25"/>
      <c r="T9" s="25"/>
      <c r="U9" s="25"/>
      <c r="V9" s="25"/>
      <c r="W9" s="25"/>
      <c r="X9" s="25"/>
      <c r="Y9" s="25"/>
      <c r="Z9" s="25"/>
      <c r="AA9" s="25"/>
      <c r="AB9" s="25"/>
      <c r="AC9" s="25"/>
      <c r="AD9" s="25"/>
    </row>
    <row r="10" spans="1:30" ht="20.65" customHeight="1" x14ac:dyDescent="0.45">
      <c r="A10" s="25"/>
      <c r="B10" s="594"/>
      <c r="C10" s="594"/>
      <c r="D10" s="594"/>
      <c r="E10" s="594"/>
      <c r="F10" s="594"/>
      <c r="G10" s="594"/>
      <c r="H10" s="594"/>
      <c r="I10" s="594"/>
      <c r="J10" s="594"/>
      <c r="K10" s="25"/>
      <c r="L10" s="25"/>
      <c r="M10" s="25"/>
      <c r="N10" s="25"/>
      <c r="O10" s="25"/>
      <c r="P10" s="25"/>
      <c r="Q10" s="25"/>
      <c r="R10" s="25"/>
      <c r="S10" s="25"/>
      <c r="T10" s="25"/>
      <c r="U10" s="25"/>
      <c r="V10" s="25"/>
      <c r="W10" s="25"/>
      <c r="X10" s="25"/>
      <c r="Y10" s="25"/>
      <c r="Z10" s="25"/>
      <c r="AA10" s="25"/>
      <c r="AB10" s="25"/>
      <c r="AC10" s="25"/>
      <c r="AD10" s="25"/>
    </row>
    <row r="11" spans="1:30" x14ac:dyDescent="0.45">
      <c r="A11" s="25"/>
      <c r="B11" s="595" t="s">
        <v>1046</v>
      </c>
      <c r="C11" s="595"/>
      <c r="D11" s="595"/>
      <c r="E11" s="595"/>
      <c r="F11" s="587" t="s">
        <v>1042</v>
      </c>
      <c r="G11" s="587"/>
      <c r="H11" s="587"/>
      <c r="I11" s="587"/>
      <c r="J11" s="587"/>
      <c r="K11" s="25"/>
      <c r="L11" s="25"/>
      <c r="M11" s="25"/>
      <c r="N11" s="25"/>
      <c r="O11" s="25"/>
      <c r="P11" s="25"/>
      <c r="Q11" s="25"/>
      <c r="R11" s="25"/>
      <c r="S11" s="25"/>
      <c r="T11" s="25"/>
      <c r="U11" s="25"/>
      <c r="V11" s="25"/>
      <c r="W11" s="25"/>
      <c r="X11" s="25"/>
      <c r="Y11" s="25"/>
      <c r="Z11" s="25"/>
      <c r="AA11" s="25"/>
      <c r="AB11" s="25"/>
      <c r="AC11" s="25"/>
      <c r="AD11" s="25"/>
    </row>
    <row r="12" spans="1:30" x14ac:dyDescent="0.45">
      <c r="A12" s="25"/>
      <c r="B12" s="588"/>
      <c r="C12" s="588"/>
      <c r="D12" s="588"/>
      <c r="E12" s="588"/>
      <c r="F12" s="588"/>
      <c r="G12" s="588"/>
      <c r="H12" s="588"/>
      <c r="I12" s="588"/>
      <c r="J12" s="588"/>
      <c r="K12" s="25"/>
      <c r="L12" s="25"/>
      <c r="M12" s="25"/>
      <c r="N12" s="25"/>
      <c r="O12" s="25"/>
      <c r="P12" s="25"/>
      <c r="Q12" s="25"/>
      <c r="R12" s="25"/>
      <c r="S12" s="25"/>
      <c r="T12" s="25"/>
      <c r="U12" s="25"/>
      <c r="V12" s="25"/>
      <c r="W12" s="25"/>
      <c r="X12" s="25"/>
      <c r="Y12" s="25"/>
      <c r="Z12" s="25"/>
      <c r="AA12" s="25"/>
      <c r="AB12" s="25"/>
      <c r="AC12" s="25"/>
      <c r="AD12" s="25"/>
    </row>
    <row r="13" spans="1:30" x14ac:dyDescent="0.4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65" customHeight="1" x14ac:dyDescent="0.45">
      <c r="A14" s="25"/>
      <c r="B14" s="589"/>
      <c r="C14" s="596"/>
      <c r="D14" s="596"/>
      <c r="E14" s="596"/>
      <c r="F14" s="596"/>
      <c r="G14" s="596"/>
      <c r="H14" s="596"/>
      <c r="I14" s="596"/>
      <c r="J14" s="596"/>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45">
      <c r="A15" s="25"/>
      <c r="B15" s="589"/>
      <c r="C15" s="596"/>
      <c r="D15" s="596"/>
      <c r="E15" s="596"/>
      <c r="F15" s="596"/>
      <c r="G15" s="596"/>
      <c r="H15" s="596"/>
      <c r="I15" s="596"/>
      <c r="J15" s="596"/>
      <c r="K15" s="25"/>
      <c r="L15" s="25"/>
      <c r="M15" s="25"/>
      <c r="N15" s="25"/>
      <c r="O15" s="25"/>
      <c r="P15" s="25"/>
      <c r="Q15" s="25"/>
      <c r="R15" s="25"/>
      <c r="S15" s="25"/>
      <c r="T15" s="25"/>
      <c r="U15" s="25"/>
      <c r="V15" s="25"/>
      <c r="W15" s="25"/>
      <c r="X15" s="25"/>
      <c r="Y15" s="25"/>
      <c r="Z15" s="25"/>
      <c r="AA15" s="25"/>
      <c r="AB15" s="25"/>
      <c r="AC15" s="25"/>
      <c r="AD15" s="25"/>
    </row>
    <row r="16" spans="1:30" ht="21.75" customHeight="1" x14ac:dyDescent="0.45">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65">
      <c r="A17" s="25"/>
      <c r="B17" s="591" t="s">
        <v>1</v>
      </c>
      <c r="C17" s="591"/>
      <c r="D17" s="591"/>
      <c r="E17" s="591"/>
      <c r="F17" s="591"/>
      <c r="G17" s="591"/>
      <c r="H17" s="591"/>
      <c r="I17" s="25"/>
      <c r="J17" s="25"/>
      <c r="K17" s="25"/>
      <c r="L17" s="25"/>
      <c r="M17" s="25"/>
      <c r="N17" s="25"/>
      <c r="O17" s="25"/>
      <c r="P17" s="25"/>
      <c r="Q17" s="25"/>
      <c r="R17" s="25"/>
      <c r="S17" s="25"/>
      <c r="T17" s="25"/>
      <c r="U17" s="25"/>
      <c r="V17" s="25"/>
      <c r="W17" s="25"/>
      <c r="X17" s="25"/>
      <c r="Y17" s="25"/>
      <c r="Z17" s="25"/>
      <c r="AA17" s="25"/>
      <c r="AB17" s="25"/>
      <c r="AC17" s="25"/>
      <c r="AD17" s="25"/>
    </row>
    <row r="18" spans="1:30" ht="14.65" thickBot="1" x14ac:dyDescent="0.5">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65" customHeight="1" x14ac:dyDescent="0.45">
      <c r="A19" s="25"/>
      <c r="B19" s="597"/>
      <c r="C19" s="598"/>
      <c r="D19" s="601" t="s">
        <v>2</v>
      </c>
      <c r="E19" s="602"/>
      <c r="F19" s="602"/>
      <c r="G19" s="602"/>
      <c r="H19" s="603"/>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45">
      <c r="A20" s="25"/>
      <c r="B20" s="599"/>
      <c r="C20" s="600"/>
      <c r="D20" s="574"/>
      <c r="E20" s="575"/>
      <c r="F20" s="575"/>
      <c r="G20" s="575"/>
      <c r="H20" s="576"/>
      <c r="I20" s="25"/>
      <c r="J20" s="25"/>
      <c r="K20" s="25"/>
      <c r="L20" s="25"/>
      <c r="M20" s="25"/>
      <c r="N20" s="25"/>
      <c r="O20" s="25"/>
      <c r="P20" s="25"/>
      <c r="Q20" s="25"/>
      <c r="R20" s="25"/>
      <c r="S20" s="25"/>
      <c r="T20" s="25"/>
      <c r="U20" s="25"/>
      <c r="V20" s="25"/>
      <c r="W20" s="25"/>
      <c r="X20" s="25"/>
      <c r="Y20" s="25"/>
      <c r="Z20" s="25"/>
      <c r="AA20" s="25"/>
      <c r="AB20" s="25"/>
      <c r="AC20" s="25"/>
      <c r="AD20" s="25"/>
    </row>
    <row r="21" spans="1:30" ht="14.65" customHeight="1" x14ac:dyDescent="0.45">
      <c r="A21" s="25"/>
      <c r="B21" s="567"/>
      <c r="C21" s="568"/>
      <c r="D21" s="571" t="s">
        <v>3</v>
      </c>
      <c r="E21" s="572"/>
      <c r="F21" s="572"/>
      <c r="G21" s="572"/>
      <c r="H21" s="573"/>
      <c r="I21" s="25"/>
      <c r="J21" s="25"/>
      <c r="K21" s="25"/>
      <c r="L21" s="25"/>
      <c r="M21" s="25"/>
      <c r="N21" s="25"/>
      <c r="O21" s="25"/>
      <c r="P21" s="25"/>
      <c r="Q21" s="25"/>
      <c r="R21" s="25"/>
      <c r="S21" s="25"/>
      <c r="T21" s="25"/>
      <c r="U21" s="25"/>
      <c r="V21" s="25"/>
      <c r="W21" s="25"/>
      <c r="X21" s="25"/>
      <c r="Y21" s="25"/>
      <c r="Z21" s="25"/>
      <c r="AA21" s="25"/>
      <c r="AB21" s="25"/>
      <c r="AC21" s="25"/>
      <c r="AD21" s="25"/>
    </row>
    <row r="22" spans="1:30" ht="14.65" customHeight="1" x14ac:dyDescent="0.45">
      <c r="A22" s="25"/>
      <c r="B22" s="569"/>
      <c r="C22" s="570"/>
      <c r="D22" s="574"/>
      <c r="E22" s="575"/>
      <c r="F22" s="575"/>
      <c r="G22" s="575"/>
      <c r="H22" s="576"/>
      <c r="I22" s="25"/>
      <c r="J22" s="25"/>
      <c r="K22" s="25"/>
      <c r="L22" s="25"/>
      <c r="M22" s="25"/>
      <c r="N22" s="25"/>
      <c r="O22" s="25"/>
      <c r="P22" s="25"/>
      <c r="Q22" s="25"/>
      <c r="R22" s="25"/>
      <c r="S22" s="25"/>
      <c r="T22" s="25"/>
      <c r="U22" s="25"/>
      <c r="V22" s="25"/>
      <c r="W22" s="25"/>
      <c r="X22" s="25"/>
      <c r="Y22" s="25"/>
      <c r="Z22" s="25"/>
      <c r="AA22" s="25"/>
      <c r="AB22" s="25"/>
      <c r="AC22" s="25"/>
      <c r="AD22" s="25"/>
    </row>
    <row r="23" spans="1:30" ht="14.65" customHeight="1" x14ac:dyDescent="0.45">
      <c r="A23" s="25"/>
      <c r="B23" s="608"/>
      <c r="C23" s="609"/>
      <c r="D23" s="612" t="s">
        <v>4</v>
      </c>
      <c r="E23" s="613"/>
      <c r="F23" s="613"/>
      <c r="G23" s="613"/>
      <c r="H23" s="614"/>
      <c r="I23" s="25"/>
      <c r="J23" s="25"/>
      <c r="K23" s="25"/>
      <c r="L23" s="25"/>
      <c r="M23" s="25"/>
      <c r="N23" s="25"/>
      <c r="O23" s="25"/>
      <c r="P23" s="25"/>
      <c r="Q23" s="25"/>
      <c r="R23" s="25"/>
      <c r="S23" s="25"/>
      <c r="T23" s="25"/>
      <c r="U23" s="25"/>
      <c r="V23" s="25"/>
      <c r="W23" s="25"/>
      <c r="X23" s="25"/>
      <c r="Y23" s="25"/>
      <c r="Z23" s="25"/>
      <c r="AA23" s="25"/>
      <c r="AB23" s="25"/>
      <c r="AC23" s="25"/>
      <c r="AD23" s="25"/>
    </row>
    <row r="24" spans="1:30" ht="14.65" customHeight="1" x14ac:dyDescent="0.45">
      <c r="A24" s="25"/>
      <c r="B24" s="610"/>
      <c r="C24" s="611"/>
      <c r="D24" s="615"/>
      <c r="E24" s="616"/>
      <c r="F24" s="616"/>
      <c r="G24" s="616"/>
      <c r="H24" s="617"/>
      <c r="I24" s="25"/>
      <c r="J24" s="25"/>
      <c r="K24" s="25"/>
      <c r="L24" s="25"/>
      <c r="M24" s="25"/>
      <c r="N24" s="25"/>
      <c r="O24" s="25"/>
      <c r="P24" s="25"/>
      <c r="Q24" s="25"/>
      <c r="R24" s="25"/>
      <c r="S24" s="25"/>
      <c r="T24" s="25"/>
      <c r="U24" s="25"/>
      <c r="V24" s="25"/>
      <c r="W24" s="25"/>
      <c r="X24" s="25"/>
      <c r="Y24" s="25"/>
      <c r="Z24" s="25"/>
      <c r="AA24" s="25"/>
      <c r="AB24" s="25"/>
      <c r="AC24" s="25"/>
      <c r="AD24" s="25"/>
    </row>
    <row r="25" spans="1:30" ht="28.15" customHeight="1" x14ac:dyDescent="0.45">
      <c r="A25" s="25"/>
      <c r="B25" s="387"/>
      <c r="C25" s="388"/>
      <c r="D25" s="583" t="s">
        <v>5</v>
      </c>
      <c r="E25" s="584"/>
      <c r="F25" s="584"/>
      <c r="G25" s="584"/>
      <c r="H25" s="585"/>
      <c r="I25" s="25"/>
      <c r="J25" s="25"/>
      <c r="K25" s="25"/>
      <c r="L25" s="25"/>
      <c r="M25" s="25"/>
      <c r="N25" s="25"/>
      <c r="O25" s="25"/>
      <c r="P25" s="25"/>
      <c r="Q25" s="25"/>
      <c r="R25" s="25"/>
      <c r="S25" s="25"/>
      <c r="T25" s="25"/>
      <c r="U25" s="25"/>
      <c r="V25" s="25"/>
      <c r="W25" s="25"/>
      <c r="X25" s="25"/>
      <c r="Y25" s="25"/>
      <c r="Z25" s="25"/>
      <c r="AA25" s="25"/>
      <c r="AB25" s="25"/>
      <c r="AC25" s="25"/>
      <c r="AD25" s="25"/>
    </row>
    <row r="26" spans="1:30" ht="32.25" customHeight="1" x14ac:dyDescent="0.45">
      <c r="A26" s="25"/>
      <c r="B26" s="389"/>
      <c r="C26" s="390"/>
      <c r="D26" s="583" t="s">
        <v>6</v>
      </c>
      <c r="E26" s="584"/>
      <c r="F26" s="584"/>
      <c r="G26" s="584"/>
      <c r="H26" s="585"/>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45">
      <c r="A27" s="25"/>
      <c r="B27" s="581" t="s">
        <v>7</v>
      </c>
      <c r="C27" s="582"/>
      <c r="D27" s="583" t="s">
        <v>8</v>
      </c>
      <c r="E27" s="584"/>
      <c r="F27" s="584"/>
      <c r="G27" s="584"/>
      <c r="H27" s="585"/>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45">
      <c r="A28" s="25"/>
      <c r="B28" s="604" t="s">
        <v>9</v>
      </c>
      <c r="C28" s="605"/>
      <c r="D28" s="606" t="s">
        <v>10</v>
      </c>
      <c r="E28" s="606"/>
      <c r="F28" s="606"/>
      <c r="G28" s="606"/>
      <c r="H28" s="607"/>
      <c r="I28" s="25"/>
      <c r="J28" s="586" t="s">
        <v>11</v>
      </c>
      <c r="K28" s="586"/>
      <c r="L28" s="586"/>
      <c r="M28" s="586"/>
      <c r="N28" s="586"/>
      <c r="O28" s="586"/>
      <c r="P28" s="586"/>
      <c r="Q28" s="586"/>
      <c r="R28" s="586"/>
      <c r="S28" s="25"/>
      <c r="T28" s="25"/>
      <c r="U28" s="25"/>
      <c r="V28" s="25"/>
      <c r="W28" s="25"/>
      <c r="X28" s="25"/>
      <c r="Y28" s="25"/>
      <c r="Z28" s="25"/>
      <c r="AA28" s="25"/>
      <c r="AB28" s="25"/>
      <c r="AC28" s="25"/>
      <c r="AD28" s="25"/>
    </row>
    <row r="29" spans="1:30" ht="24" customHeight="1" thickBot="1" x14ac:dyDescent="0.5">
      <c r="A29" s="25"/>
      <c r="B29" s="577"/>
      <c r="C29" s="578"/>
      <c r="D29" s="579" t="s">
        <v>12</v>
      </c>
      <c r="E29" s="579"/>
      <c r="F29" s="579"/>
      <c r="G29" s="579"/>
      <c r="H29" s="580"/>
      <c r="I29" s="25"/>
      <c r="J29" s="25"/>
      <c r="K29" s="25"/>
      <c r="L29" s="25"/>
      <c r="M29" s="25"/>
      <c r="N29" s="25"/>
      <c r="O29" s="25"/>
      <c r="P29" s="25"/>
      <c r="Q29" s="25"/>
      <c r="R29" s="25"/>
      <c r="S29" s="25"/>
      <c r="T29" s="25"/>
      <c r="U29" s="25"/>
      <c r="V29" s="25"/>
      <c r="W29" s="25"/>
      <c r="X29" s="25"/>
      <c r="Y29" s="25"/>
      <c r="Z29" s="25"/>
      <c r="AA29" s="25"/>
      <c r="AB29" s="25"/>
      <c r="AC29" s="25"/>
      <c r="AD29" s="25"/>
    </row>
    <row r="30" spans="1:30" ht="27.75" customHeight="1" x14ac:dyDescent="0.4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75" customHeight="1" x14ac:dyDescent="0.4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4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75" customHeight="1" x14ac:dyDescent="0.4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4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75" customHeight="1" x14ac:dyDescent="0.4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4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4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4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4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4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4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4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4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4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4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4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4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4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4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4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4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4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4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4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4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4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4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4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4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4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4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4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4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4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4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4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4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4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4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4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4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4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4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4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4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4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4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4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4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4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4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4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4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4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4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4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4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4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4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4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4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4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4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4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x14ac:dyDescent="0.45"/>
    <row r="98" customFormat="1" hidden="1" x14ac:dyDescent="0.45"/>
    <row r="99" customFormat="1" hidden="1" x14ac:dyDescent="0.45"/>
    <row r="100" customFormat="1" hidden="1" x14ac:dyDescent="0.45"/>
    <row r="101" customFormat="1" hidden="1" x14ac:dyDescent="0.45"/>
    <row r="102" customFormat="1" hidden="1" x14ac:dyDescent="0.45"/>
    <row r="103" customFormat="1" hidden="1" x14ac:dyDescent="0.45"/>
    <row r="104" customFormat="1" hidden="1" x14ac:dyDescent="0.45"/>
    <row r="105" customFormat="1" hidden="1" x14ac:dyDescent="0.45"/>
    <row r="106" customFormat="1" hidden="1" x14ac:dyDescent="0.45"/>
    <row r="107" customFormat="1" hidden="1" x14ac:dyDescent="0.45"/>
    <row r="108" customFormat="1" hidden="1" x14ac:dyDescent="0.45"/>
    <row r="109" customFormat="1" hidden="1" x14ac:dyDescent="0.45"/>
    <row r="110" customFormat="1" hidden="1" x14ac:dyDescent="0.45"/>
    <row r="111" customFormat="1" hidden="1" x14ac:dyDescent="0.45"/>
    <row r="112" customFormat="1" hidden="1" x14ac:dyDescent="0.45"/>
    <row r="113" customFormat="1" hidden="1" x14ac:dyDescent="0.45"/>
    <row r="114" customFormat="1" hidden="1" x14ac:dyDescent="0.45"/>
    <row r="115" customFormat="1" hidden="1" x14ac:dyDescent="0.45"/>
    <row r="116" customFormat="1" hidden="1" x14ac:dyDescent="0.45"/>
    <row r="117" customFormat="1" hidden="1" x14ac:dyDescent="0.45"/>
    <row r="118" customFormat="1" hidden="1" x14ac:dyDescent="0.45"/>
    <row r="119" customFormat="1" hidden="1" x14ac:dyDescent="0.45"/>
    <row r="120" customFormat="1" hidden="1" x14ac:dyDescent="0.45"/>
    <row r="121" customFormat="1" hidden="1" x14ac:dyDescent="0.45"/>
    <row r="122" customFormat="1" hidden="1" x14ac:dyDescent="0.45"/>
    <row r="123" customFormat="1" hidden="1" x14ac:dyDescent="0.45"/>
    <row r="124" customFormat="1" hidden="1" x14ac:dyDescent="0.45"/>
    <row r="125" customFormat="1" hidden="1" x14ac:dyDescent="0.45"/>
    <row r="126" customFormat="1" hidden="1" x14ac:dyDescent="0.45"/>
    <row r="127" customFormat="1" hidden="1" x14ac:dyDescent="0.45"/>
    <row r="128" customFormat="1" hidden="1" x14ac:dyDescent="0.45"/>
    <row r="129" customFormat="1" hidden="1" x14ac:dyDescent="0.45"/>
    <row r="130" customFormat="1" hidden="1" x14ac:dyDescent="0.45"/>
  </sheetData>
  <sheetProtection algorithmName="SHA-512" hashValue="Mb2IFo/4jbyHSzVyJMyPzt5btdcJWs3VIMgLCfY1ikiwv4KPnLJcnTDn+poFGibYKU5q6WQoj1Wbmnk79+P2+A==" saltValue="KBc/93FoK3iOgEV94rljs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9" sqref="D9"/>
    </sheetView>
  </sheetViews>
  <sheetFormatPr defaultColWidth="0" defaultRowHeight="0" customHeight="1" zeroHeight="1" x14ac:dyDescent="0.45"/>
  <cols>
    <col min="1" max="1" width="4.59765625" customWidth="1"/>
    <col min="2" max="3" width="39.265625" customWidth="1"/>
    <col min="4" max="4" width="70.86328125" customWidth="1"/>
    <col min="5" max="5" width="6" customWidth="1"/>
    <col min="6" max="6" width="13.73046875" customWidth="1"/>
    <col min="7" max="11" width="8.86328125" customWidth="1"/>
    <col min="12" max="16384" width="8.86328125" hidden="1"/>
  </cols>
  <sheetData>
    <row r="1" spans="1:11" ht="14.65" thickBot="1" x14ac:dyDescent="0.5">
      <c r="A1" s="25"/>
      <c r="B1" s="25"/>
      <c r="C1" s="25"/>
      <c r="D1" s="25"/>
      <c r="E1" s="25"/>
      <c r="F1" s="25"/>
      <c r="G1" s="25"/>
      <c r="H1" s="25"/>
      <c r="I1" s="25"/>
      <c r="J1" s="25"/>
      <c r="K1" s="25"/>
    </row>
    <row r="2" spans="1:11" ht="32.65" customHeight="1" thickBot="1" x14ac:dyDescent="0.5">
      <c r="A2" s="25"/>
      <c r="B2" s="631" t="s">
        <v>13</v>
      </c>
      <c r="C2" s="632"/>
      <c r="D2" s="260" t="s">
        <v>14</v>
      </c>
      <c r="E2" s="40"/>
      <c r="F2" s="25"/>
      <c r="G2" s="25"/>
      <c r="H2" s="25"/>
      <c r="I2" s="25"/>
      <c r="J2" s="25"/>
      <c r="K2" s="25"/>
    </row>
    <row r="3" spans="1:11" ht="42" customHeight="1" x14ac:dyDescent="0.45">
      <c r="A3" s="25"/>
      <c r="B3" s="626" t="s">
        <v>15</v>
      </c>
      <c r="C3" s="627"/>
      <c r="D3" s="31"/>
      <c r="E3" s="25"/>
      <c r="F3" s="25"/>
      <c r="G3" s="25"/>
      <c r="H3" s="25"/>
      <c r="I3" s="25"/>
      <c r="J3" s="25"/>
      <c r="K3" s="25"/>
    </row>
    <row r="4" spans="1:11" ht="42" customHeight="1" x14ac:dyDescent="0.45">
      <c r="A4" s="25"/>
      <c r="B4" s="624" t="s">
        <v>16</v>
      </c>
      <c r="C4" s="625"/>
      <c r="D4" s="32" t="s">
        <v>1055</v>
      </c>
      <c r="E4" s="25"/>
      <c r="F4" s="25"/>
      <c r="G4" s="25"/>
      <c r="H4" s="25"/>
      <c r="I4" s="25"/>
      <c r="J4" s="25"/>
      <c r="K4" s="25"/>
    </row>
    <row r="5" spans="1:11" ht="42" customHeight="1" x14ac:dyDescent="0.45">
      <c r="A5" s="25"/>
      <c r="B5" s="624" t="s">
        <v>17</v>
      </c>
      <c r="C5" s="625"/>
      <c r="D5" s="32"/>
      <c r="E5" s="25"/>
      <c r="F5" s="25"/>
      <c r="G5" s="25"/>
      <c r="H5" s="25"/>
      <c r="I5" s="25"/>
      <c r="J5" s="25"/>
      <c r="K5" s="25"/>
    </row>
    <row r="6" spans="1:11" ht="42" customHeight="1" x14ac:dyDescent="0.45">
      <c r="A6" s="25"/>
      <c r="B6" s="624" t="s">
        <v>18</v>
      </c>
      <c r="C6" s="625"/>
      <c r="D6" s="32"/>
      <c r="E6" s="25"/>
      <c r="F6" s="25"/>
      <c r="G6" s="25"/>
      <c r="H6" s="25"/>
      <c r="I6" s="25"/>
      <c r="J6" s="25"/>
      <c r="K6" s="25"/>
    </row>
    <row r="7" spans="1:11" ht="42" customHeight="1" x14ac:dyDescent="0.45">
      <c r="A7" s="25"/>
      <c r="B7" s="624" t="s">
        <v>19</v>
      </c>
      <c r="C7" s="625"/>
      <c r="D7" s="32"/>
      <c r="E7" s="25"/>
      <c r="F7" s="25"/>
      <c r="G7" s="25"/>
      <c r="H7" s="25"/>
      <c r="I7" s="25"/>
      <c r="J7" s="25"/>
      <c r="K7" s="25"/>
    </row>
    <row r="8" spans="1:11" ht="42" customHeight="1" x14ac:dyDescent="0.45">
      <c r="A8" s="25"/>
      <c r="B8" s="624" t="s">
        <v>20</v>
      </c>
      <c r="C8" s="625"/>
      <c r="D8" s="32" t="s">
        <v>1048</v>
      </c>
      <c r="E8" s="25"/>
      <c r="F8" s="25"/>
      <c r="G8" s="25"/>
      <c r="H8" s="25"/>
      <c r="I8" s="25"/>
      <c r="J8" s="25"/>
      <c r="K8" s="25"/>
    </row>
    <row r="9" spans="1:11" ht="42" customHeight="1" x14ac:dyDescent="0.45">
      <c r="A9" s="25"/>
      <c r="B9" s="624" t="s">
        <v>21</v>
      </c>
      <c r="C9" s="625"/>
      <c r="D9" s="287">
        <v>45518</v>
      </c>
      <c r="E9" s="25"/>
      <c r="F9" s="25"/>
      <c r="G9" s="25"/>
      <c r="H9" s="25"/>
      <c r="I9" s="25"/>
      <c r="J9" s="25"/>
      <c r="K9" s="25"/>
    </row>
    <row r="10" spans="1:11" ht="42" customHeight="1" x14ac:dyDescent="0.45">
      <c r="A10" s="25"/>
      <c r="B10" s="624" t="s">
        <v>22</v>
      </c>
      <c r="C10" s="625"/>
      <c r="D10" s="32"/>
      <c r="E10" s="25"/>
      <c r="F10" s="25"/>
      <c r="G10" s="25"/>
      <c r="H10" s="25"/>
      <c r="I10" s="25"/>
      <c r="J10" s="25"/>
      <c r="K10" s="25"/>
    </row>
    <row r="11" spans="1:11" ht="42" customHeight="1" thickBot="1" x14ac:dyDescent="0.5">
      <c r="A11" s="25"/>
      <c r="B11" s="628" t="s">
        <v>23</v>
      </c>
      <c r="C11" s="629"/>
      <c r="D11" s="201"/>
      <c r="E11" s="25"/>
      <c r="F11" s="25"/>
      <c r="G11" s="25"/>
      <c r="H11" s="25"/>
      <c r="I11" s="25"/>
      <c r="J11" s="25"/>
      <c r="K11" s="25"/>
    </row>
    <row r="12" spans="1:11" ht="42" customHeight="1" thickBot="1" x14ac:dyDescent="0.95">
      <c r="A12" s="25"/>
      <c r="B12" s="56" t="s">
        <v>24</v>
      </c>
      <c r="C12" s="145"/>
      <c r="D12" s="146"/>
      <c r="E12" s="25"/>
      <c r="F12" s="25"/>
      <c r="G12" s="25"/>
      <c r="H12" s="25"/>
      <c r="I12" s="25"/>
      <c r="J12" s="25"/>
      <c r="K12" s="25"/>
    </row>
    <row r="13" spans="1:11" ht="42" customHeight="1" x14ac:dyDescent="0.45">
      <c r="A13" s="25"/>
      <c r="B13" s="619" t="s">
        <v>25</v>
      </c>
      <c r="C13" s="147" t="s">
        <v>26</v>
      </c>
      <c r="D13" s="33">
        <v>10</v>
      </c>
      <c r="E13" s="622" t="str">
        <f>IF(D13&lt;10,"Caution - % target reduced below default ▲",IF(D13&gt;10,"Caution -Target increased above default ⚠",""))</f>
        <v/>
      </c>
      <c r="F13" s="623"/>
      <c r="G13" s="623"/>
      <c r="H13" s="623"/>
      <c r="I13" s="623"/>
      <c r="J13" s="435"/>
      <c r="K13" s="25"/>
    </row>
    <row r="14" spans="1:11" ht="42" customHeight="1" x14ac:dyDescent="0.45">
      <c r="A14" s="25"/>
      <c r="B14" s="620"/>
      <c r="C14" s="148" t="s">
        <v>27</v>
      </c>
      <c r="D14" s="34">
        <v>10</v>
      </c>
      <c r="E14" s="622" t="str">
        <f t="shared" ref="E14:E15" si="0">IF(D14&lt;10,"Caution - % target reduced below default ▲",IF(D14&gt;10,"Caution -Target increased above default ⚠",""))</f>
        <v/>
      </c>
      <c r="F14" s="623"/>
      <c r="G14" s="623"/>
      <c r="H14" s="623"/>
      <c r="I14" s="623"/>
      <c r="J14" s="25"/>
      <c r="K14" s="25"/>
    </row>
    <row r="15" spans="1:11" ht="42" customHeight="1" thickBot="1" x14ac:dyDescent="0.5">
      <c r="A15" s="25"/>
      <c r="B15" s="621"/>
      <c r="C15" s="149" t="s">
        <v>28</v>
      </c>
      <c r="D15" s="35">
        <v>10</v>
      </c>
      <c r="E15" s="622" t="str">
        <f t="shared" si="0"/>
        <v/>
      </c>
      <c r="F15" s="623"/>
      <c r="G15" s="623"/>
      <c r="H15" s="623"/>
      <c r="I15" s="623"/>
      <c r="J15" s="25"/>
      <c r="K15" s="25"/>
    </row>
    <row r="16" spans="1:11" ht="36.75" customHeight="1" thickBot="1" x14ac:dyDescent="0.5">
      <c r="A16" s="25"/>
      <c r="B16" s="153"/>
      <c r="C16" s="153"/>
      <c r="D16" s="501"/>
      <c r="E16" s="25"/>
      <c r="F16" s="25"/>
      <c r="G16" s="25"/>
      <c r="H16" s="25"/>
      <c r="I16" s="25"/>
      <c r="J16" s="25"/>
      <c r="K16" s="25"/>
    </row>
    <row r="17" spans="1:11" ht="40.9" customHeight="1" x14ac:dyDescent="0.45">
      <c r="A17" s="25"/>
      <c r="B17" s="619" t="s">
        <v>1032</v>
      </c>
      <c r="C17" s="147" t="s">
        <v>29</v>
      </c>
      <c r="D17" s="33">
        <v>0</v>
      </c>
      <c r="E17" s="618" t="str">
        <f>IF(D17=0,"","Unit increase Targets must be agreed with LPA ⚠")</f>
        <v/>
      </c>
      <c r="F17" s="618"/>
      <c r="G17" s="618"/>
      <c r="H17" s="618"/>
      <c r="I17" s="618"/>
      <c r="J17" s="25"/>
      <c r="K17" s="25"/>
    </row>
    <row r="18" spans="1:11" ht="40.9" customHeight="1" x14ac:dyDescent="0.45">
      <c r="A18" s="25"/>
      <c r="B18" s="620"/>
      <c r="C18" s="148" t="s">
        <v>30</v>
      </c>
      <c r="D18" s="34">
        <v>0</v>
      </c>
      <c r="E18" s="618" t="str">
        <f t="shared" ref="E18:E19" si="1">IF(D18=0,"","Unit increase Targets must be agreed with LPA ⚠")</f>
        <v/>
      </c>
      <c r="F18" s="618"/>
      <c r="G18" s="618"/>
      <c r="H18" s="618"/>
      <c r="I18" s="618"/>
      <c r="J18" s="25"/>
      <c r="K18" s="25"/>
    </row>
    <row r="19" spans="1:11" ht="40.9" customHeight="1" thickBot="1" x14ac:dyDescent="0.5">
      <c r="A19" s="25"/>
      <c r="B19" s="621"/>
      <c r="C19" s="149" t="s">
        <v>31</v>
      </c>
      <c r="D19" s="35">
        <v>0</v>
      </c>
      <c r="E19" s="618" t="str">
        <f t="shared" si="1"/>
        <v/>
      </c>
      <c r="F19" s="618"/>
      <c r="G19" s="618"/>
      <c r="H19" s="618"/>
      <c r="I19" s="618"/>
      <c r="J19" s="25"/>
      <c r="K19" s="25"/>
    </row>
    <row r="20" spans="1:11" ht="23.65" customHeight="1" x14ac:dyDescent="0.45">
      <c r="A20" s="25"/>
      <c r="B20" s="25"/>
      <c r="C20" s="25"/>
      <c r="D20" s="25"/>
      <c r="E20" s="153"/>
      <c r="F20" s="153"/>
      <c r="G20" s="153"/>
      <c r="H20" s="153"/>
      <c r="I20" s="153"/>
      <c r="J20" s="25"/>
      <c r="K20" s="25"/>
    </row>
    <row r="21" spans="1:11" ht="34.15" customHeight="1" thickBot="1" x14ac:dyDescent="0.5">
      <c r="A21" s="25"/>
      <c r="B21" s="630" t="s">
        <v>32</v>
      </c>
      <c r="C21" s="630"/>
      <c r="D21" s="630"/>
      <c r="E21" s="153"/>
      <c r="F21" s="153"/>
      <c r="G21" s="153"/>
      <c r="H21" s="153"/>
      <c r="I21" s="153"/>
      <c r="J21" s="25"/>
      <c r="K21" s="25"/>
    </row>
    <row r="22" spans="1:11" ht="40.9" customHeight="1" x14ac:dyDescent="0.45">
      <c r="A22" s="25"/>
      <c r="B22" s="626" t="s">
        <v>33</v>
      </c>
      <c r="C22" s="627"/>
      <c r="D22" s="31"/>
      <c r="E22" s="153"/>
      <c r="F22" s="153"/>
      <c r="G22" s="153"/>
      <c r="H22" s="153"/>
      <c r="I22" s="153"/>
      <c r="J22" s="25"/>
      <c r="K22" s="25"/>
    </row>
    <row r="23" spans="1:11" ht="40.9" customHeight="1" thickBot="1" x14ac:dyDescent="0.5">
      <c r="A23" s="25"/>
      <c r="B23" s="628" t="s">
        <v>34</v>
      </c>
      <c r="C23" s="629"/>
      <c r="D23" s="288"/>
      <c r="E23" s="153"/>
      <c r="F23" s="153"/>
      <c r="G23" s="153"/>
      <c r="H23" s="153"/>
      <c r="I23" s="153"/>
      <c r="J23" s="25"/>
      <c r="K23" s="25"/>
    </row>
    <row r="24" spans="1:11" ht="40.9" customHeight="1" x14ac:dyDescent="0.45">
      <c r="A24" s="25"/>
      <c r="B24" s="25"/>
      <c r="C24" s="25"/>
      <c r="D24" s="25"/>
      <c r="E24" s="25"/>
      <c r="F24" s="195"/>
      <c r="G24" s="195"/>
      <c r="H24" s="195"/>
      <c r="I24" s="195"/>
      <c r="J24" s="25"/>
      <c r="K24" s="25"/>
    </row>
    <row r="25" spans="1:11" ht="40.9" hidden="1" customHeight="1" x14ac:dyDescent="0.45">
      <c r="A25" s="25"/>
      <c r="B25" s="25"/>
      <c r="C25" s="25"/>
      <c r="D25" s="25"/>
      <c r="E25" s="25"/>
      <c r="F25" s="195"/>
      <c r="G25" s="195"/>
      <c r="H25" s="195"/>
      <c r="I25" s="195"/>
      <c r="J25" s="25"/>
      <c r="K25" s="25"/>
    </row>
    <row r="26" spans="1:11" ht="40.9" hidden="1" customHeight="1" x14ac:dyDescent="0.45">
      <c r="A26" s="25"/>
      <c r="B26" s="25"/>
      <c r="C26" s="25"/>
      <c r="D26" s="25"/>
      <c r="E26" s="25"/>
      <c r="F26" s="195"/>
      <c r="G26" s="195"/>
      <c r="H26" s="195"/>
      <c r="I26" s="195"/>
      <c r="J26" s="25"/>
      <c r="K26" s="25"/>
    </row>
    <row r="27" spans="1:11" ht="40.9" hidden="1" customHeight="1" x14ac:dyDescent="0.45">
      <c r="A27" s="25"/>
      <c r="B27" s="25"/>
      <c r="C27" s="25"/>
      <c r="D27" s="25"/>
      <c r="E27" s="25"/>
      <c r="F27" s="195"/>
      <c r="G27" s="195"/>
      <c r="H27" s="195"/>
      <c r="I27" s="195"/>
      <c r="J27" s="25"/>
      <c r="K27" s="25"/>
    </row>
    <row r="28" spans="1:11" ht="36.75" hidden="1" customHeight="1" x14ac:dyDescent="0.45">
      <c r="A28" s="25"/>
      <c r="B28" s="25"/>
      <c r="C28" s="25"/>
      <c r="D28" s="25"/>
      <c r="E28" s="25"/>
      <c r="F28" s="25"/>
      <c r="G28" s="25"/>
      <c r="H28" s="25"/>
      <c r="I28" s="25"/>
      <c r="J28" s="25"/>
      <c r="K28" s="25"/>
    </row>
    <row r="29" spans="1:11" ht="14.65" hidden="1" customHeight="1" x14ac:dyDescent="0.45">
      <c r="A29" s="25"/>
      <c r="B29" s="25"/>
      <c r="C29" s="25"/>
      <c r="D29" s="25"/>
      <c r="E29" s="25"/>
      <c r="F29" s="25"/>
      <c r="G29" s="25"/>
      <c r="H29" s="25"/>
      <c r="I29" s="25"/>
      <c r="J29" s="25"/>
      <c r="K29" s="25"/>
    </row>
    <row r="30" spans="1:11" ht="14.65" hidden="1" customHeight="1" x14ac:dyDescent="0.45">
      <c r="A30" s="25"/>
      <c r="B30" s="25"/>
      <c r="C30" s="25"/>
      <c r="D30" s="25"/>
      <c r="E30" s="25"/>
      <c r="F30" s="25"/>
      <c r="G30" s="25"/>
      <c r="H30" s="25"/>
      <c r="I30" s="25"/>
      <c r="J30" s="25"/>
      <c r="K30" s="25"/>
    </row>
    <row r="31" spans="1:11" ht="14.65" hidden="1" customHeight="1" x14ac:dyDescent="0.45">
      <c r="A31" s="25"/>
      <c r="B31" s="25"/>
      <c r="C31" s="25"/>
      <c r="D31" s="25"/>
      <c r="E31" s="25"/>
      <c r="F31" s="25"/>
      <c r="G31" s="25"/>
      <c r="H31" s="25"/>
      <c r="I31" s="25"/>
      <c r="J31" s="25"/>
      <c r="K31" s="25"/>
    </row>
    <row r="32" spans="1:11" ht="14.65" hidden="1" customHeight="1" x14ac:dyDescent="0.45">
      <c r="A32" s="25"/>
      <c r="B32" s="25"/>
      <c r="C32" s="25"/>
      <c r="D32" s="25"/>
      <c r="E32" s="25"/>
      <c r="F32" s="25"/>
      <c r="G32" s="25"/>
      <c r="H32" s="25"/>
      <c r="I32" s="25"/>
      <c r="J32" s="25"/>
      <c r="K32" s="25"/>
    </row>
    <row r="33" spans="1:11" ht="15" hidden="1" customHeight="1" x14ac:dyDescent="0.45">
      <c r="A33" s="25"/>
      <c r="B33" s="25"/>
      <c r="C33" s="25"/>
      <c r="D33" s="25"/>
      <c r="E33" s="25"/>
      <c r="F33" s="25"/>
      <c r="G33" s="25"/>
      <c r="H33" s="25"/>
      <c r="I33" s="25"/>
      <c r="J33" s="25"/>
      <c r="K33" s="25"/>
    </row>
    <row r="34" spans="1:11" ht="14.25" hidden="1" x14ac:dyDescent="0.45">
      <c r="A34" s="25"/>
      <c r="B34" s="25"/>
      <c r="C34" s="25"/>
      <c r="D34" s="25"/>
      <c r="E34" s="25"/>
      <c r="F34" s="25"/>
      <c r="G34" s="25"/>
      <c r="H34" s="25"/>
      <c r="I34" s="25"/>
      <c r="J34" s="25"/>
      <c r="K34" s="25"/>
    </row>
    <row r="35" spans="1:11" ht="14.25" hidden="1" x14ac:dyDescent="0.45">
      <c r="A35" s="25"/>
      <c r="B35" s="25"/>
      <c r="C35" s="25"/>
      <c r="D35" s="25"/>
      <c r="E35" s="25"/>
      <c r="F35" s="25"/>
      <c r="G35" s="25"/>
      <c r="H35" s="25"/>
      <c r="I35" s="25"/>
      <c r="J35" s="25"/>
      <c r="K35" s="25"/>
    </row>
    <row r="36" spans="1:11" ht="14.25" hidden="1" x14ac:dyDescent="0.45">
      <c r="A36" s="25"/>
      <c r="B36" s="25"/>
      <c r="C36" s="25"/>
      <c r="D36" s="25"/>
      <c r="E36" s="25"/>
      <c r="F36" s="25"/>
      <c r="G36" s="25"/>
      <c r="H36" s="25"/>
      <c r="I36" s="25"/>
      <c r="J36" s="25"/>
      <c r="K36" s="25"/>
    </row>
    <row r="37" spans="1:11" ht="14.25" hidden="1" x14ac:dyDescent="0.45">
      <c r="A37" s="25"/>
      <c r="B37" s="25"/>
      <c r="C37" s="25"/>
      <c r="D37" s="25"/>
      <c r="E37" s="25"/>
      <c r="F37" s="25"/>
      <c r="G37" s="25"/>
      <c r="H37" s="25"/>
      <c r="I37" s="25"/>
      <c r="J37" s="25"/>
      <c r="K37" s="25"/>
    </row>
    <row r="38" spans="1:11" ht="14.25" hidden="1" x14ac:dyDescent="0.45"/>
    <row r="39" spans="1:11" ht="14.25" hidden="1" x14ac:dyDescent="0.45"/>
  </sheetData>
  <sheetProtection algorithmName="SHA-512" hashValue="5Jv+7qiEd2bDFm3OcE24MygvZkql1/AfRhQuozpsc+p8XnhHThwcsqjN82goL/jbjAu3hrjG4UeBrVNK7rCQfA==" saltValue="Wt1ywmZuMp4y7MfaHQIrag=="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F8" sqref="F8"/>
    </sheetView>
  </sheetViews>
  <sheetFormatPr defaultColWidth="0" defaultRowHeight="14.25" zeroHeight="1" x14ac:dyDescent="0.45"/>
  <cols>
    <col min="1" max="1" width="4.59765625" customWidth="1"/>
    <col min="2" max="2" width="63.265625" customWidth="1"/>
    <col min="3" max="3" width="48.86328125" bestFit="1" customWidth="1"/>
    <col min="4" max="4" width="46.86328125" customWidth="1"/>
    <col min="5" max="8" width="8.86328125" customWidth="1"/>
    <col min="9" max="13" width="8.86328125" hidden="1" customWidth="1"/>
    <col min="14" max="18" width="0" hidden="1" customWidth="1"/>
    <col min="19" max="16384" width="8.86328125" hidden="1"/>
  </cols>
  <sheetData>
    <row r="1" spans="1:14" ht="14.65" thickBot="1" x14ac:dyDescent="0.5">
      <c r="A1" s="25"/>
      <c r="B1" s="25"/>
      <c r="C1" s="25"/>
      <c r="D1" s="25"/>
      <c r="E1" s="25"/>
      <c r="F1" s="25"/>
      <c r="G1" s="25"/>
      <c r="H1" s="25"/>
      <c r="I1" s="25"/>
      <c r="J1" s="25"/>
      <c r="K1" s="25"/>
      <c r="L1" s="25"/>
      <c r="M1" s="25"/>
      <c r="N1" s="25"/>
    </row>
    <row r="2" spans="1:14" ht="24" customHeight="1" x14ac:dyDescent="0.45">
      <c r="A2" s="53"/>
      <c r="B2" s="200" t="s">
        <v>35</v>
      </c>
      <c r="C2" s="637" t="str">
        <f>IF('2. Site Details'!D4="","Enter site name on 2. Site Details",'2. Site Details'!D4)</f>
        <v>McDonalds Molesworth Street</v>
      </c>
      <c r="D2" s="638"/>
      <c r="E2" s="25"/>
      <c r="F2" s="25"/>
      <c r="G2" s="25"/>
      <c r="H2" s="25"/>
      <c r="I2" s="25"/>
      <c r="J2" s="25"/>
      <c r="K2" s="25"/>
      <c r="L2" s="25"/>
      <c r="M2" s="25"/>
      <c r="N2" s="25"/>
    </row>
    <row r="3" spans="1:14" ht="24" customHeight="1" thickBot="1" x14ac:dyDescent="0.5">
      <c r="A3" s="53"/>
      <c r="B3" s="199" t="s">
        <v>13</v>
      </c>
      <c r="C3" s="635" t="s">
        <v>36</v>
      </c>
      <c r="D3" s="636"/>
      <c r="E3" s="25"/>
      <c r="F3" s="25"/>
      <c r="G3" s="25"/>
      <c r="H3" s="25"/>
      <c r="I3" s="25"/>
      <c r="J3" s="25"/>
      <c r="K3" s="25"/>
      <c r="L3" s="25"/>
      <c r="M3" s="25"/>
      <c r="N3" s="25"/>
    </row>
    <row r="4" spans="1:14" ht="14.65" customHeight="1" x14ac:dyDescent="0.45">
      <c r="A4" s="53"/>
      <c r="B4" s="53"/>
      <c r="C4" s="53"/>
      <c r="D4" s="53"/>
      <c r="E4" s="25"/>
      <c r="F4" s="25"/>
      <c r="G4" s="25"/>
      <c r="H4" s="25"/>
      <c r="I4" s="25"/>
      <c r="J4" s="25"/>
      <c r="K4" s="25"/>
      <c r="L4" s="25"/>
      <c r="M4" s="25"/>
      <c r="N4" s="25"/>
    </row>
    <row r="5" spans="1:14" ht="36" customHeight="1" thickBot="1" x14ac:dyDescent="0.5">
      <c r="A5" s="40"/>
      <c r="B5" s="56" t="s">
        <v>37</v>
      </c>
      <c r="C5" s="41"/>
      <c r="D5" s="41"/>
      <c r="E5" s="25"/>
      <c r="F5" s="25"/>
      <c r="G5" s="25"/>
      <c r="H5" s="25"/>
      <c r="I5" s="25"/>
      <c r="J5" s="25"/>
      <c r="K5" s="25"/>
      <c r="L5" s="25"/>
      <c r="M5" s="25"/>
      <c r="N5" s="25"/>
    </row>
    <row r="6" spans="1:14" ht="42" customHeight="1" x14ac:dyDescent="0.45">
      <c r="A6" s="25"/>
      <c r="B6" s="37" t="s">
        <v>38</v>
      </c>
      <c r="C6" s="150" t="s">
        <v>1049</v>
      </c>
      <c r="D6" s="202" t="str">
        <f>IF(AND(C6="Residential",C9="Unknown number"),"Site area must be less than 5,000 m2",IF(C6="","","Site area must be less than 10,000 m2"))</f>
        <v>Site area must be less than 10,000 m2</v>
      </c>
      <c r="E6" s="633" t="str">
        <f>IF(AND(C9="Unknown number", C6="Residential"),"Site area limited by unknown number of dwellings ⚠", "")</f>
        <v/>
      </c>
      <c r="F6" s="634"/>
      <c r="G6" s="634"/>
      <c r="H6" s="634"/>
      <c r="I6" s="25"/>
      <c r="J6" s="25"/>
      <c r="K6" s="25"/>
      <c r="L6" s="25"/>
      <c r="M6" s="25"/>
      <c r="N6" s="25"/>
    </row>
    <row r="7" spans="1:14" ht="42" customHeight="1" x14ac:dyDescent="0.45">
      <c r="A7" s="25"/>
      <c r="B7" s="42" t="s">
        <v>39</v>
      </c>
      <c r="C7" s="151">
        <v>3421</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45">
      <c r="A8" s="25"/>
      <c r="B8" s="396" t="str">
        <f>IF(OR(C6="Residential",C6="Other"),"N/A",IF(C6="","","16. Building footprint (m2) of commercial buildings proposed within the development site (or zero if none)"))</f>
        <v>16. Building footprint (m2) of commercial buildings proposed within the development site (or zero if none)</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5">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5">
      <c r="A10" s="25"/>
      <c r="B10" s="56" t="s">
        <v>1033</v>
      </c>
      <c r="C10" s="43"/>
      <c r="D10" s="44"/>
      <c r="E10" s="25"/>
      <c r="F10" s="25"/>
      <c r="G10" s="25"/>
      <c r="H10" s="25"/>
      <c r="I10" s="25"/>
      <c r="J10" s="25"/>
      <c r="K10" s="25"/>
      <c r="L10" s="25"/>
      <c r="M10" s="25"/>
      <c r="N10" s="25"/>
    </row>
    <row r="11" spans="1:14" ht="42" customHeight="1" x14ac:dyDescent="0.45">
      <c r="A11" s="25"/>
      <c r="B11" s="37" t="s">
        <v>40</v>
      </c>
      <c r="C11" s="150" t="s">
        <v>1050</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45">
      <c r="A12" s="25"/>
      <c r="B12" s="42" t="s">
        <v>41</v>
      </c>
      <c r="C12" s="151" t="s">
        <v>1050</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x14ac:dyDescent="0.45">
      <c r="A13" s="25"/>
      <c r="B13" s="42" t="s">
        <v>42</v>
      </c>
      <c r="C13" s="639"/>
      <c r="D13" s="640"/>
      <c r="E13" s="25"/>
      <c r="F13" s="25"/>
      <c r="G13" s="25"/>
      <c r="H13" s="25"/>
      <c r="I13" s="25"/>
      <c r="J13" s="25"/>
      <c r="K13" s="25"/>
      <c r="L13" s="25"/>
      <c r="M13" s="25"/>
      <c r="N13" s="25"/>
    </row>
    <row r="14" spans="1:14" ht="79.150000000000006" customHeight="1" thickBot="1" x14ac:dyDescent="0.5">
      <c r="A14" s="25"/>
      <c r="B14" s="36" t="s">
        <v>43</v>
      </c>
      <c r="C14" s="641" t="s">
        <v>1053</v>
      </c>
      <c r="D14" s="642"/>
      <c r="E14" s="25"/>
      <c r="F14" s="25"/>
      <c r="G14" s="25"/>
      <c r="H14" s="25"/>
      <c r="I14" s="25"/>
      <c r="J14" s="25"/>
      <c r="K14" s="25"/>
      <c r="L14" s="25"/>
      <c r="M14" s="25"/>
      <c r="N14" s="25"/>
    </row>
    <row r="15" spans="1:14" ht="36" customHeight="1" thickBot="1" x14ac:dyDescent="0.5">
      <c r="A15" s="25"/>
      <c r="B15" s="562" t="s">
        <v>1034</v>
      </c>
      <c r="C15" s="25"/>
      <c r="D15" s="25"/>
      <c r="E15" s="25"/>
      <c r="F15" s="25"/>
      <c r="G15" s="25"/>
      <c r="H15" s="25"/>
      <c r="I15" s="25"/>
      <c r="J15" s="25"/>
      <c r="K15" s="25"/>
      <c r="L15" s="25"/>
      <c r="M15" s="25"/>
      <c r="N15" s="25"/>
    </row>
    <row r="16" spans="1:14" ht="42" customHeight="1" thickBot="1" x14ac:dyDescent="0.5">
      <c r="A16" s="25"/>
      <c r="B16" s="160" t="s">
        <v>1035</v>
      </c>
      <c r="C16" s="563" t="s">
        <v>1050</v>
      </c>
      <c r="D16" s="564" t="str">
        <f>IF(C16="Yes","ERROR- Site too complex for metric - USE MAIN METRIC ▲","")</f>
        <v/>
      </c>
      <c r="E16" s="25"/>
      <c r="F16" s="25"/>
      <c r="G16" s="25"/>
      <c r="H16" s="25"/>
      <c r="I16" s="25"/>
      <c r="J16" s="25"/>
      <c r="K16" s="25"/>
      <c r="L16" s="25"/>
      <c r="M16" s="25"/>
      <c r="N16" s="25"/>
    </row>
    <row r="17" spans="1:14" ht="42" hidden="1" customHeight="1" x14ac:dyDescent="0.45">
      <c r="A17" s="25"/>
      <c r="B17" s="25"/>
      <c r="C17" s="25"/>
      <c r="D17" s="25"/>
      <c r="E17" s="25"/>
      <c r="F17" s="25"/>
      <c r="G17" s="25"/>
      <c r="H17" s="25"/>
      <c r="I17" s="25"/>
      <c r="J17" s="25"/>
      <c r="K17" s="25"/>
      <c r="L17" s="25"/>
      <c r="M17" s="25"/>
      <c r="N17" s="25"/>
    </row>
    <row r="18" spans="1:14" ht="42" customHeight="1" thickBot="1" x14ac:dyDescent="0.5">
      <c r="A18" s="25"/>
      <c r="B18" s="56" t="s">
        <v>44</v>
      </c>
      <c r="C18" s="25"/>
      <c r="D18" s="25"/>
      <c r="E18" s="25"/>
      <c r="F18" s="25"/>
      <c r="G18" s="25"/>
      <c r="H18" s="25"/>
      <c r="I18" s="25"/>
      <c r="J18" s="25"/>
      <c r="K18" s="25"/>
      <c r="L18" s="25"/>
      <c r="M18" s="25"/>
      <c r="N18" s="25"/>
    </row>
    <row r="19" spans="1:14" ht="36" customHeight="1" x14ac:dyDescent="0.45">
      <c r="A19" s="25"/>
      <c r="B19" s="37" t="s">
        <v>1036</v>
      </c>
      <c r="C19" s="150" t="s">
        <v>1051</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150000000000006" customHeight="1" x14ac:dyDescent="0.45">
      <c r="A20" s="25"/>
      <c r="B20" s="42" t="s">
        <v>1037</v>
      </c>
      <c r="C20" s="161">
        <v>45453</v>
      </c>
      <c r="D20" s="162" t="str">
        <f>IF(C20="","Walkover date required ▲","Site walkover data valid until "&amp;TEXT(EDATE(C20,6),"dd/mm/yy"))</f>
        <v>Site walkover data valid until 10/12/24</v>
      </c>
      <c r="E20" s="25"/>
      <c r="F20" s="25"/>
      <c r="G20" s="25"/>
      <c r="H20" s="25"/>
      <c r="I20" s="25"/>
      <c r="J20" s="25"/>
      <c r="K20" s="25"/>
      <c r="L20" s="25"/>
      <c r="M20" s="25"/>
      <c r="N20" s="25"/>
    </row>
    <row r="21" spans="1:14" ht="39.6" customHeight="1" thickBot="1" x14ac:dyDescent="0.5">
      <c r="A21" s="25"/>
      <c r="B21" s="36" t="s">
        <v>1038</v>
      </c>
      <c r="C21" s="560" t="s">
        <v>1052</v>
      </c>
      <c r="D21" s="561"/>
      <c r="E21" s="25"/>
      <c r="F21" s="25"/>
      <c r="G21" s="25"/>
      <c r="H21" s="25"/>
      <c r="I21" s="25"/>
      <c r="J21" s="25"/>
      <c r="K21" s="25"/>
      <c r="L21" s="25"/>
      <c r="M21" s="25"/>
      <c r="N21" s="25"/>
    </row>
    <row r="22" spans="1:14" ht="26.65" customHeight="1" thickBot="1" x14ac:dyDescent="0.5">
      <c r="A22" s="25"/>
      <c r="B22" s="56" t="s">
        <v>45</v>
      </c>
      <c r="C22" s="25"/>
      <c r="D22" s="25"/>
      <c r="E22" s="25"/>
      <c r="F22" s="25"/>
      <c r="G22" s="25"/>
      <c r="H22" s="25"/>
      <c r="I22" s="25"/>
      <c r="J22" s="25"/>
      <c r="K22" s="25"/>
      <c r="L22" s="25"/>
      <c r="M22" s="25"/>
      <c r="N22" s="25"/>
    </row>
    <row r="23" spans="1:14" ht="56.65" customHeight="1" thickBot="1" x14ac:dyDescent="0.5">
      <c r="A23" s="25"/>
      <c r="B23" s="160" t="s">
        <v>1039</v>
      </c>
      <c r="C23" s="558" t="s">
        <v>1054</v>
      </c>
      <c r="D23" s="559"/>
      <c r="E23" s="25"/>
      <c r="F23" s="25"/>
      <c r="G23" s="25"/>
      <c r="H23" s="25"/>
      <c r="I23" s="25"/>
      <c r="J23" s="25"/>
      <c r="K23" s="25"/>
      <c r="L23" s="25"/>
      <c r="M23" s="25"/>
      <c r="N23" s="25"/>
    </row>
    <row r="24" spans="1:14" ht="14.65" customHeight="1" x14ac:dyDescent="0.45">
      <c r="A24" s="25"/>
      <c r="B24" s="25"/>
      <c r="C24" s="25"/>
      <c r="D24" s="25"/>
      <c r="E24" s="25"/>
      <c r="F24" s="25"/>
      <c r="G24" s="25"/>
      <c r="H24" s="25"/>
      <c r="I24" s="25"/>
      <c r="J24" s="25"/>
      <c r="K24" s="25"/>
      <c r="L24" s="25"/>
      <c r="M24" s="25"/>
      <c r="N24" s="25"/>
    </row>
    <row r="25" spans="1:14" ht="14.65" customHeight="1" x14ac:dyDescent="0.45">
      <c r="A25" s="25"/>
      <c r="B25" s="25"/>
      <c r="C25" s="25"/>
      <c r="D25" s="25"/>
      <c r="E25" s="25"/>
      <c r="F25" s="25"/>
      <c r="G25" s="25"/>
      <c r="H25" s="25"/>
      <c r="I25" s="25"/>
      <c r="J25" s="25"/>
      <c r="K25" s="25"/>
      <c r="L25" s="25"/>
      <c r="M25" s="25"/>
      <c r="N25" s="25"/>
    </row>
    <row r="26" spans="1:14" ht="15" hidden="1" customHeight="1" x14ac:dyDescent="0.45">
      <c r="A26" s="25"/>
      <c r="B26" s="25"/>
      <c r="C26" s="25"/>
      <c r="D26" s="25"/>
      <c r="E26" s="25"/>
      <c r="F26" s="25"/>
      <c r="G26" s="25"/>
      <c r="H26" s="25"/>
      <c r="I26" s="25"/>
      <c r="J26" s="25"/>
      <c r="K26" s="25"/>
      <c r="L26" s="25"/>
      <c r="M26" s="25"/>
      <c r="N26" s="25"/>
    </row>
    <row r="27" spans="1:14" ht="15" hidden="1" customHeight="1" x14ac:dyDescent="0.45">
      <c r="A27" s="25"/>
      <c r="B27" s="25"/>
      <c r="C27" s="25"/>
      <c r="D27" s="25"/>
      <c r="E27" s="25"/>
      <c r="F27" s="25"/>
      <c r="G27" s="25"/>
      <c r="H27" s="25"/>
      <c r="I27" s="25"/>
      <c r="J27" s="25"/>
      <c r="K27" s="25"/>
      <c r="L27" s="25"/>
      <c r="M27" s="25"/>
      <c r="N27" s="25"/>
    </row>
    <row r="28" spans="1:14" hidden="1" x14ac:dyDescent="0.45">
      <c r="A28" s="25"/>
      <c r="B28" s="25"/>
      <c r="C28" s="25"/>
      <c r="D28" s="25"/>
      <c r="E28" s="25"/>
      <c r="F28" s="25"/>
      <c r="G28" s="25"/>
      <c r="H28" s="25"/>
      <c r="I28" s="25"/>
      <c r="J28" s="25"/>
      <c r="K28" s="25"/>
      <c r="L28" s="25"/>
      <c r="M28" s="25"/>
      <c r="N28" s="25"/>
    </row>
    <row r="29" spans="1:14" hidden="1" x14ac:dyDescent="0.45">
      <c r="A29" s="25"/>
      <c r="B29" s="25"/>
      <c r="C29" s="25"/>
      <c r="D29" s="25"/>
      <c r="E29" s="25"/>
      <c r="F29" s="25"/>
      <c r="G29" s="25"/>
      <c r="H29" s="25"/>
      <c r="I29" s="25"/>
      <c r="J29" s="25"/>
      <c r="K29" s="25"/>
      <c r="L29" s="25"/>
      <c r="M29" s="25"/>
      <c r="N29" s="25"/>
    </row>
    <row r="30" spans="1:14" hidden="1" x14ac:dyDescent="0.45">
      <c r="A30" s="25"/>
      <c r="B30" s="25"/>
      <c r="C30" s="25"/>
      <c r="D30" s="25"/>
      <c r="E30" s="25"/>
      <c r="F30" s="25"/>
      <c r="G30" s="25"/>
      <c r="H30" s="25"/>
      <c r="I30" s="25"/>
      <c r="J30" s="25"/>
      <c r="K30" s="25"/>
      <c r="L30" s="25"/>
      <c r="M30" s="25"/>
      <c r="N30" s="25"/>
    </row>
    <row r="31" spans="1:14" hidden="1" x14ac:dyDescent="0.45">
      <c r="A31" s="25"/>
      <c r="B31" s="25"/>
      <c r="C31" s="25"/>
      <c r="D31" s="25"/>
      <c r="E31" s="25"/>
      <c r="F31" s="25"/>
      <c r="G31" s="25"/>
      <c r="H31" s="25"/>
    </row>
    <row r="32" spans="1:14" hidden="1" x14ac:dyDescent="0.45">
      <c r="A32" s="25"/>
      <c r="B32" s="25"/>
      <c r="C32" s="25"/>
      <c r="D32" s="25"/>
      <c r="E32" s="25"/>
      <c r="F32" s="25"/>
      <c r="G32" s="25"/>
      <c r="H32" s="25"/>
    </row>
    <row r="33" spans="1:8" hidden="1" x14ac:dyDescent="0.45">
      <c r="A33" s="25"/>
      <c r="B33" s="25"/>
      <c r="C33" s="25"/>
      <c r="D33" s="25"/>
      <c r="E33" s="25"/>
      <c r="F33" s="25"/>
      <c r="G33" s="25"/>
      <c r="H33" s="25"/>
    </row>
    <row r="34" spans="1:8" hidden="1" x14ac:dyDescent="0.45">
      <c r="A34" s="25"/>
      <c r="B34" s="25"/>
      <c r="C34" s="25"/>
      <c r="D34" s="25"/>
      <c r="E34" s="25"/>
      <c r="F34" s="25"/>
      <c r="G34" s="25"/>
      <c r="H34" s="25"/>
    </row>
    <row r="35" spans="1:8" hidden="1" x14ac:dyDescent="0.45">
      <c r="A35" s="25"/>
      <c r="B35" s="25"/>
      <c r="C35" s="25"/>
      <c r="D35" s="25"/>
      <c r="E35" s="25"/>
      <c r="F35" s="25"/>
      <c r="G35" s="25"/>
      <c r="H35" s="25"/>
    </row>
    <row r="36" spans="1:8" hidden="1" x14ac:dyDescent="0.45">
      <c r="A36" s="25"/>
      <c r="B36" s="25"/>
      <c r="C36" s="25"/>
      <c r="D36" s="25"/>
      <c r="E36" s="25"/>
      <c r="F36" s="25"/>
      <c r="G36" s="25"/>
      <c r="H36" s="25"/>
    </row>
    <row r="37" spans="1:8" hidden="1" x14ac:dyDescent="0.45">
      <c r="A37" s="25"/>
      <c r="B37" s="25"/>
      <c r="C37" s="25"/>
      <c r="D37" s="25"/>
      <c r="E37" s="25"/>
      <c r="F37" s="25"/>
      <c r="G37" s="25"/>
      <c r="H37" s="25"/>
    </row>
    <row r="38" spans="1:8" hidden="1" x14ac:dyDescent="0.45">
      <c r="A38" s="25"/>
      <c r="B38" s="25"/>
      <c r="C38" s="25"/>
      <c r="D38" s="25"/>
      <c r="E38" s="25"/>
      <c r="F38" s="25"/>
      <c r="G38" s="25"/>
      <c r="H38" s="25"/>
    </row>
    <row r="39" spans="1:8" hidden="1" x14ac:dyDescent="0.45">
      <c r="A39" s="25"/>
      <c r="B39" s="25"/>
      <c r="C39" s="25"/>
      <c r="D39" s="25"/>
      <c r="E39" s="25"/>
      <c r="F39" s="25"/>
      <c r="G39" s="25"/>
      <c r="H39" s="25"/>
    </row>
    <row r="49" customFormat="1" hidden="1" x14ac:dyDescent="0.45"/>
    <row r="50" customFormat="1" hidden="1" x14ac:dyDescent="0.45"/>
    <row r="51" customFormat="1" hidden="1" x14ac:dyDescent="0.45"/>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86328125" defaultRowHeight="14.25" zeroHeight="1" x14ac:dyDescent="0.45"/>
  <cols>
    <col min="1" max="1" width="3.3984375" customWidth="1"/>
    <col min="2" max="2" width="16.3984375" bestFit="1" customWidth="1"/>
    <col min="3" max="3" width="32.265625" bestFit="1" customWidth="1"/>
    <col min="4" max="5" width="89.86328125" customWidth="1"/>
    <col min="6" max="7" width="8.86328125" customWidth="1"/>
    <col min="8" max="16382" width="8.86328125" hidden="1" customWidth="1"/>
    <col min="16383" max="16383" width="8.86328125" style="25" customWidth="1"/>
    <col min="16384" max="16384" width="8.86328125" style="25"/>
  </cols>
  <sheetData>
    <row r="1" spans="1:34" ht="14.65" thickBot="1" x14ac:dyDescent="0.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75" customHeight="1" x14ac:dyDescent="0.55000000000000004">
      <c r="A2" s="25"/>
      <c r="B2" s="647" t="s">
        <v>35</v>
      </c>
      <c r="C2" s="648"/>
      <c r="D2" s="261" t="str">
        <f>IF('2. Site Details'!D4="","Enter site name on 2. Site Details",'2. Site Details'!D4)</f>
        <v>McDonalds Molesworth Street</v>
      </c>
      <c r="E2" s="650"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75" customHeight="1" thickBot="1" x14ac:dyDescent="0.6">
      <c r="A3" s="25"/>
      <c r="B3" s="645" t="s">
        <v>13</v>
      </c>
      <c r="C3" s="646"/>
      <c r="D3" s="262" t="s">
        <v>46</v>
      </c>
      <c r="E3" s="650"/>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75" customHeight="1" x14ac:dyDescent="0.4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x14ac:dyDescent="0.65">
      <c r="A5" s="25"/>
      <c r="B5" s="57" t="s">
        <v>47</v>
      </c>
      <c r="C5" s="59"/>
      <c r="D5" s="649" t="s">
        <v>48</v>
      </c>
      <c r="E5" s="649"/>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4.65" thickBot="1" x14ac:dyDescent="0.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75" customHeight="1" thickBot="1" x14ac:dyDescent="0.5">
      <c r="A7" s="25"/>
      <c r="B7" s="187" t="s">
        <v>49</v>
      </c>
      <c r="C7" s="188" t="s">
        <v>50</v>
      </c>
      <c r="D7" s="188" t="s">
        <v>51</v>
      </c>
      <c r="E7" s="189" t="s">
        <v>52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45">
      <c r="A8" s="25"/>
      <c r="B8" s="643">
        <v>1</v>
      </c>
      <c r="C8" s="168" t="s">
        <v>53</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5">
      <c r="A9" s="25"/>
      <c r="B9" s="644"/>
      <c r="C9" s="186" t="str">
        <f>IF('5. Area Habitats'!D11=0,"",'5. Area Habitats'!D11)</f>
        <v>Developed land; 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45">
      <c r="A10" s="25"/>
      <c r="B10" s="643">
        <v>2</v>
      </c>
      <c r="C10" s="168" t="s">
        <v>53</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5">
      <c r="A11" s="25"/>
      <c r="B11" s="644"/>
      <c r="C11" s="186" t="str">
        <f>IF('5. Area Habitats'!D12=0,"",'5. Area Habitats'!D12)</f>
        <v>Vacant or derelict land</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45">
      <c r="A12" s="25"/>
      <c r="B12" s="643">
        <v>3</v>
      </c>
      <c r="C12" s="168" t="s">
        <v>53</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5">
      <c r="A13" s="25"/>
      <c r="B13" s="644"/>
      <c r="C13" s="186" t="str">
        <f>IF('5. Area Habitats'!D13=0,"",'5. Area Habitats'!D13)</f>
        <v>Other woodland; broadleaved</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45">
      <c r="A14" s="25"/>
      <c r="B14" s="651">
        <v>4</v>
      </c>
      <c r="C14" s="168" t="s">
        <v>53</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5">
      <c r="A15" s="25"/>
      <c r="B15" s="652"/>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45">
      <c r="A16" s="25"/>
      <c r="B16" s="643">
        <v>5</v>
      </c>
      <c r="C16" s="168" t="s">
        <v>53</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5">
      <c r="A17" s="25"/>
      <c r="B17" s="644"/>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45">
      <c r="A18" s="25"/>
      <c r="B18" s="643">
        <v>6</v>
      </c>
      <c r="C18" s="168" t="s">
        <v>53</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5">
      <c r="A19" s="25"/>
      <c r="B19" s="644"/>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45">
      <c r="A20" s="25"/>
      <c r="B20" s="643">
        <v>7</v>
      </c>
      <c r="C20" s="168" t="s">
        <v>53</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5">
      <c r="A21" s="25"/>
      <c r="B21" s="644"/>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45">
      <c r="A22" s="25"/>
      <c r="B22" s="643">
        <v>8</v>
      </c>
      <c r="C22" s="168" t="s">
        <v>53</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5">
      <c r="A23" s="25"/>
      <c r="B23" s="644"/>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45">
      <c r="A24" s="25"/>
      <c r="B24" s="643">
        <v>9</v>
      </c>
      <c r="C24" s="168" t="s">
        <v>53</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5">
      <c r="A25" s="25"/>
      <c r="B25" s="644"/>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45">
      <c r="A26" s="25"/>
      <c r="B26" s="643">
        <v>10</v>
      </c>
      <c r="C26" s="168" t="s">
        <v>53</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5">
      <c r="A27" s="25"/>
      <c r="B27" s="644"/>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45">
      <c r="A28" s="25"/>
      <c r="B28" s="643">
        <v>11</v>
      </c>
      <c r="C28" s="168" t="s">
        <v>53</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5">
      <c r="A29" s="25"/>
      <c r="B29" s="644"/>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45">
      <c r="A30" s="25"/>
      <c r="B30" s="643">
        <v>12</v>
      </c>
      <c r="C30" s="168" t="s">
        <v>53</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5">
      <c r="A31" s="25"/>
      <c r="B31" s="644"/>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45">
      <c r="A32" s="25"/>
      <c r="B32" s="643">
        <v>13</v>
      </c>
      <c r="C32" s="168" t="s">
        <v>53</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5">
      <c r="A33" s="25"/>
      <c r="B33" s="644"/>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45">
      <c r="A34" s="25"/>
      <c r="B34" s="643">
        <v>14</v>
      </c>
      <c r="C34" s="168" t="s">
        <v>53</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5">
      <c r="A35" s="25"/>
      <c r="B35" s="644"/>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45">
      <c r="A36" s="25"/>
      <c r="B36" s="643">
        <v>15</v>
      </c>
      <c r="C36" s="168" t="s">
        <v>53</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5">
      <c r="A37" s="25"/>
      <c r="B37" s="644"/>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45">
      <c r="A38" s="25"/>
      <c r="B38" s="643">
        <v>16</v>
      </c>
      <c r="C38" s="168" t="s">
        <v>53</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5">
      <c r="A39" s="25"/>
      <c r="B39" s="644"/>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45">
      <c r="A40" s="25"/>
      <c r="B40" s="643">
        <v>17</v>
      </c>
      <c r="C40" s="168" t="s">
        <v>53</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5">
      <c r="A41" s="25"/>
      <c r="B41" s="644"/>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45">
      <c r="A42" s="25"/>
      <c r="B42" s="643">
        <v>18</v>
      </c>
      <c r="C42" s="168" t="s">
        <v>53</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5">
      <c r="A43" s="25"/>
      <c r="B43" s="644"/>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45">
      <c r="A44" s="25"/>
      <c r="B44" s="643">
        <v>19</v>
      </c>
      <c r="C44" s="168" t="s">
        <v>53</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5">
      <c r="A45" s="25"/>
      <c r="B45" s="644"/>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45">
      <c r="A46" s="25"/>
      <c r="B46" s="643">
        <v>20</v>
      </c>
      <c r="C46" s="168" t="s">
        <v>53</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5">
      <c r="A47" s="25"/>
      <c r="B47" s="644"/>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45">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45">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45">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45">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45">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45">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45">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45">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45">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45">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45">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45">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45">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45">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45">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45">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45">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45">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45">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45">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45">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45">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45">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45">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45">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45">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45">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45">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45">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45">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45">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45">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45">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45">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4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4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4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4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4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4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4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4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4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4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4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4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4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4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4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4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4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4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4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4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4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4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4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4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4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4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4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4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4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4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4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4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4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4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4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4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4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4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4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4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4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4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4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4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4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4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4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4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4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4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4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4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4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4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4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4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4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4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4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4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4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4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4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4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4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4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4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4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4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4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4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4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4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4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4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4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4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62" zoomScale="60" zoomScaleNormal="60" workbookViewId="0">
      <selection activeCell="G96" sqref="G96:H96"/>
    </sheetView>
  </sheetViews>
  <sheetFormatPr defaultColWidth="8.86328125" defaultRowHeight="14.25" zeroHeight="1" x14ac:dyDescent="0.45"/>
  <cols>
    <col min="1" max="1" width="4.59765625" customWidth="1"/>
    <col min="2" max="2" width="14.86328125" customWidth="1"/>
    <col min="3" max="3" width="26.3984375" bestFit="1" customWidth="1"/>
    <col min="4" max="4" width="62.73046875" customWidth="1"/>
    <col min="5" max="5" width="22" customWidth="1"/>
    <col min="6" max="6" width="18.59765625" customWidth="1"/>
    <col min="7" max="7" width="39.73046875" customWidth="1"/>
    <col min="8" max="8" width="62.3984375" customWidth="1"/>
    <col min="9" max="9" width="14.59765625" customWidth="1"/>
    <col min="10" max="10" width="12.73046875" customWidth="1"/>
    <col min="11" max="11" width="11.3984375" customWidth="1"/>
    <col min="12" max="12" width="17.86328125" customWidth="1"/>
    <col min="13" max="14" width="11.3984375" customWidth="1"/>
    <col min="15" max="16" width="27" customWidth="1"/>
    <col min="17" max="18" width="11.3984375" customWidth="1"/>
    <col min="19" max="19" width="2.265625" customWidth="1"/>
    <col min="20" max="20" width="13" customWidth="1"/>
    <col min="21" max="21" width="14.86328125" customWidth="1"/>
    <col min="22" max="22" width="20.73046875" bestFit="1" customWidth="1"/>
    <col min="23" max="23" width="23.73046875" customWidth="1"/>
    <col min="24" max="24" width="16.86328125" bestFit="1" customWidth="1"/>
    <col min="25" max="25" width="14" hidden="1" customWidth="1"/>
    <col min="26" max="26" width="21.265625" hidden="1" customWidth="1"/>
    <col min="27" max="27" width="14" hidden="1" customWidth="1"/>
    <col min="28" max="28" width="33.73046875" customWidth="1"/>
    <col min="29" max="29" width="26.59765625" customWidth="1"/>
    <col min="30" max="30" width="50" customWidth="1"/>
    <col min="31" max="31" width="18.73046875" customWidth="1"/>
    <col min="32" max="32" width="23.73046875" customWidth="1"/>
    <col min="33" max="33" width="16.73046875" customWidth="1"/>
    <col min="34" max="34" width="35.73046875" customWidth="1"/>
    <col min="35" max="35" width="76.265625" customWidth="1"/>
    <col min="36" max="36" width="22.265625" customWidth="1"/>
    <col min="37" max="39" width="22.265625" hidden="1" customWidth="1"/>
    <col min="40" max="40" width="20.3984375" customWidth="1"/>
    <col min="41" max="41" width="34.1328125" bestFit="1" customWidth="1"/>
    <col min="42" max="42" width="19.73046875" bestFit="1" customWidth="1"/>
    <col min="43" max="43" width="16.265625" bestFit="1" customWidth="1"/>
    <col min="44" max="47" width="27.265625" customWidth="1"/>
    <col min="48" max="48" width="21.1328125" bestFit="1" customWidth="1"/>
    <col min="49" max="49" width="23.265625" bestFit="1" customWidth="1"/>
    <col min="50" max="50" width="68.265625" customWidth="1"/>
    <col min="51" max="51" width="26.59765625" customWidth="1"/>
    <col min="52" max="52" width="14.265625" customWidth="1"/>
    <col min="53" max="53" width="26.59765625" customWidth="1"/>
    <col min="54" max="73" width="26.1328125" customWidth="1"/>
    <col min="74" max="74" width="11.59765625" customWidth="1"/>
    <col min="75" max="77" width="8.86328125" customWidth="1"/>
    <col min="78" max="16379" width="8.86328125" hidden="1" customWidth="1"/>
    <col min="16380" max="16383" width="8.86328125" customWidth="1"/>
  </cols>
  <sheetData>
    <row r="1" spans="1:128" ht="15.75" customHeight="1" thickBot="1" x14ac:dyDescent="0.5">
      <c r="A1" s="25"/>
      <c r="B1" s="25"/>
      <c r="C1" s="25"/>
      <c r="D1" s="25"/>
      <c r="E1" s="25"/>
      <c r="F1" s="25"/>
      <c r="G1" s="25"/>
      <c r="H1" s="25"/>
      <c r="I1" s="52"/>
      <c r="J1" s="52"/>
      <c r="K1" s="52"/>
      <c r="L1" s="52"/>
      <c r="M1" s="52"/>
      <c r="N1" s="52"/>
      <c r="O1" s="154" t="s">
        <v>54</v>
      </c>
      <c r="P1" s="277">
        <f>IFERROR(SUM(AE11:AE31), "Error ▲")</f>
        <v>0</v>
      </c>
      <c r="Q1" s="25"/>
      <c r="R1" s="653" t="s">
        <v>55</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x14ac:dyDescent="0.55000000000000004">
      <c r="A2" s="25"/>
      <c r="B2" s="80" t="s">
        <v>56</v>
      </c>
      <c r="C2" s="827" t="str">
        <f>IF('2. Site Details'!D4="","Enter site name on 2. Site Details",'2. Site Details'!D4)</f>
        <v>McDonalds Molesworth Street</v>
      </c>
      <c r="D2" s="828"/>
      <c r="E2" s="25"/>
      <c r="F2" s="772" t="s">
        <v>57</v>
      </c>
      <c r="G2" s="773"/>
      <c r="H2" s="774"/>
      <c r="I2" s="81"/>
      <c r="J2" s="786" t="str" cm="1">
        <f t="array" ref="J2">IFERROR(IF(OR((ISNUMBER(SEARCH("▲",A7:Q101)))),"Input Errors Present On Sheet - Red Cells Or ▲ Highlight Errors","All Key Rules Satisfied ✓ "),"Technical Errors On Sheet ▲")</f>
        <v xml:space="preserve">All Key Rules Satisfied ✓ </v>
      </c>
      <c r="K2" s="786"/>
      <c r="L2" s="786"/>
      <c r="M2" s="786"/>
      <c r="N2" s="81"/>
      <c r="O2" s="83" t="s">
        <v>58</v>
      </c>
      <c r="P2" s="277">
        <f>IFERROR(N32, "Error ▲")</f>
        <v>0.33960000000000001</v>
      </c>
      <c r="Q2" s="25"/>
      <c r="R2" s="653"/>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x14ac:dyDescent="0.6">
      <c r="A3" s="25"/>
      <c r="B3" s="82" t="s">
        <v>13</v>
      </c>
      <c r="C3" s="829" t="s">
        <v>59</v>
      </c>
      <c r="D3" s="830"/>
      <c r="E3" s="25"/>
      <c r="F3" s="775"/>
      <c r="G3" s="776"/>
      <c r="H3" s="777"/>
      <c r="I3" s="81"/>
      <c r="J3" s="786"/>
      <c r="K3" s="786"/>
      <c r="L3" s="786"/>
      <c r="M3" s="786"/>
      <c r="N3" s="81"/>
      <c r="O3" s="83" t="s">
        <v>60</v>
      </c>
      <c r="P3" s="277">
        <f>IFERROR(L61, "Error ▲")</f>
        <v>0.38173855905966159</v>
      </c>
      <c r="Q3" s="25"/>
      <c r="R3" s="653"/>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x14ac:dyDescent="0.45">
      <c r="A4" s="25"/>
      <c r="B4" s="84"/>
      <c r="C4" s="84"/>
      <c r="D4" s="84"/>
      <c r="E4" s="25"/>
      <c r="F4" s="775"/>
      <c r="G4" s="776"/>
      <c r="H4" s="777"/>
      <c r="I4" s="81"/>
      <c r="J4" s="786"/>
      <c r="K4" s="786"/>
      <c r="L4" s="786"/>
      <c r="M4" s="786"/>
      <c r="N4" s="81"/>
      <c r="O4" s="83" t="s">
        <v>61</v>
      </c>
      <c r="P4" s="277">
        <f>IFERROR(L89, "Error ▲")</f>
        <v>0</v>
      </c>
      <c r="Q4" s="25"/>
      <c r="R4" s="653"/>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x14ac:dyDescent="0.5">
      <c r="A5" s="85"/>
      <c r="B5" s="25"/>
      <c r="C5" s="25"/>
      <c r="D5" s="25"/>
      <c r="E5" s="25"/>
      <c r="F5" s="775"/>
      <c r="G5" s="776"/>
      <c r="H5" s="777"/>
      <c r="I5" s="81"/>
      <c r="J5" s="786"/>
      <c r="K5" s="786"/>
      <c r="L5" s="786"/>
      <c r="M5" s="786"/>
      <c r="N5" s="81"/>
      <c r="O5" s="86" t="s">
        <v>62</v>
      </c>
      <c r="P5" s="278">
        <f>IFERROR((P1+L61+L89)-L32, "Error ▲")</f>
        <v>4.2138559059661573E-2</v>
      </c>
      <c r="Q5" s="25"/>
      <c r="R5" s="653"/>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x14ac:dyDescent="0.5">
      <c r="A6" s="85"/>
      <c r="B6" s="25"/>
      <c r="C6" s="25"/>
      <c r="D6" s="25"/>
      <c r="E6" s="25"/>
      <c r="F6" s="778"/>
      <c r="G6" s="779"/>
      <c r="H6" s="780"/>
      <c r="I6" s="52"/>
      <c r="J6" s="52"/>
      <c r="K6" s="52"/>
      <c r="L6" s="52"/>
      <c r="M6" s="52"/>
      <c r="N6" s="52"/>
      <c r="O6" s="87"/>
      <c r="P6" s="87"/>
      <c r="Q6" s="25"/>
      <c r="R6" s="653"/>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x14ac:dyDescent="0.65">
      <c r="A7" s="25"/>
      <c r="B7" s="57" t="s">
        <v>63</v>
      </c>
      <c r="C7" s="25"/>
      <c r="D7" s="88"/>
      <c r="E7" s="25"/>
      <c r="F7" s="25"/>
      <c r="G7" s="25"/>
      <c r="H7" s="26"/>
      <c r="I7" s="25"/>
      <c r="J7" s="25"/>
      <c r="K7" s="26"/>
      <c r="L7" s="30"/>
      <c r="M7" s="30"/>
      <c r="N7" s="30"/>
      <c r="O7" s="25"/>
      <c r="P7" s="25"/>
      <c r="Q7" s="25"/>
      <c r="R7" s="653"/>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x14ac:dyDescent="0.5">
      <c r="A8" s="89"/>
      <c r="B8" s="25"/>
      <c r="C8" s="25"/>
      <c r="D8" s="25"/>
      <c r="E8" s="25"/>
      <c r="F8" s="25"/>
      <c r="G8" s="25"/>
      <c r="H8" s="25"/>
      <c r="I8" s="25"/>
      <c r="J8" s="25"/>
      <c r="K8" s="25"/>
      <c r="L8" s="25"/>
      <c r="M8" s="25"/>
      <c r="N8" s="25"/>
      <c r="O8" s="25"/>
      <c r="P8" s="25"/>
      <c r="Q8" s="25"/>
      <c r="R8" s="653"/>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65" customHeight="1" x14ac:dyDescent="0.45">
      <c r="A9" s="89"/>
      <c r="B9" s="735" t="s">
        <v>49</v>
      </c>
      <c r="C9" s="724" t="s">
        <v>64</v>
      </c>
      <c r="D9" s="725"/>
      <c r="E9" s="726"/>
      <c r="F9" s="756" t="s">
        <v>65</v>
      </c>
      <c r="G9" s="757"/>
      <c r="H9" s="758"/>
      <c r="I9" s="724" t="s">
        <v>66</v>
      </c>
      <c r="J9" s="725"/>
      <c r="K9" s="726"/>
      <c r="L9" s="753" t="s">
        <v>67</v>
      </c>
      <c r="M9" s="754"/>
      <c r="N9" s="755"/>
      <c r="O9" s="753" t="s">
        <v>68</v>
      </c>
      <c r="P9" s="755"/>
      <c r="Q9" s="25"/>
      <c r="R9" s="653"/>
      <c r="S9" s="25"/>
      <c r="T9" s="681" t="s">
        <v>69</v>
      </c>
      <c r="U9" s="682"/>
      <c r="V9" s="683"/>
      <c r="W9" s="762" t="s">
        <v>70</v>
      </c>
      <c r="X9" s="683"/>
      <c r="Y9" s="763"/>
      <c r="Z9" s="763"/>
      <c r="AA9" s="763"/>
      <c r="AB9" s="681" t="s">
        <v>71</v>
      </c>
      <c r="AC9" s="682"/>
      <c r="AD9" s="683"/>
      <c r="AE9" s="681" t="s">
        <v>72</v>
      </c>
      <c r="AF9" s="682"/>
      <c r="AG9" s="683"/>
      <c r="AH9" s="835" t="s">
        <v>73</v>
      </c>
      <c r="AI9" s="749" t="s">
        <v>74</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9" thickBot="1" x14ac:dyDescent="0.5">
      <c r="A10" s="89"/>
      <c r="B10" s="736"/>
      <c r="C10" s="86" t="s">
        <v>75</v>
      </c>
      <c r="D10" s="821" t="s">
        <v>76</v>
      </c>
      <c r="E10" s="822"/>
      <c r="F10" s="759"/>
      <c r="G10" s="760"/>
      <c r="H10" s="761"/>
      <c r="I10" s="86" t="s">
        <v>77</v>
      </c>
      <c r="J10" s="197" t="s">
        <v>78</v>
      </c>
      <c r="K10" s="90" t="s">
        <v>79</v>
      </c>
      <c r="L10" s="86" t="s">
        <v>80</v>
      </c>
      <c r="M10" s="197" t="s">
        <v>81</v>
      </c>
      <c r="N10" s="90" t="s">
        <v>82</v>
      </c>
      <c r="O10" s="86" t="s">
        <v>83</v>
      </c>
      <c r="P10" s="90" t="s">
        <v>84</v>
      </c>
      <c r="Q10" s="25"/>
      <c r="R10" s="653"/>
      <c r="S10" s="25"/>
      <c r="T10" s="679" t="s">
        <v>85</v>
      </c>
      <c r="U10" s="680"/>
      <c r="V10" s="92" t="s">
        <v>86</v>
      </c>
      <c r="W10" s="334" t="s">
        <v>87</v>
      </c>
      <c r="X10" s="92" t="s">
        <v>86</v>
      </c>
      <c r="Y10" s="346"/>
      <c r="Z10" s="346"/>
      <c r="AA10" s="346"/>
      <c r="AB10" s="91" t="s">
        <v>71</v>
      </c>
      <c r="AC10" s="49" t="s">
        <v>71</v>
      </c>
      <c r="AD10" s="92" t="s">
        <v>88</v>
      </c>
      <c r="AE10" s="91" t="s">
        <v>89</v>
      </c>
      <c r="AF10" s="49" t="s">
        <v>90</v>
      </c>
      <c r="AG10" s="92" t="s">
        <v>91</v>
      </c>
      <c r="AH10" s="836"/>
      <c r="AI10" s="834"/>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8.5" x14ac:dyDescent="0.45">
      <c r="A11" s="89"/>
      <c r="B11" s="263">
        <v>1</v>
      </c>
      <c r="C11" s="258" t="s">
        <v>212</v>
      </c>
      <c r="D11" s="720" t="s">
        <v>337</v>
      </c>
      <c r="E11" s="721"/>
      <c r="F11" s="766" t="s">
        <v>115</v>
      </c>
      <c r="G11" s="767"/>
      <c r="H11" s="768"/>
      <c r="I11" s="305">
        <v>2746</v>
      </c>
      <c r="J11" s="323"/>
      <c r="K11" s="307"/>
      <c r="L11" s="408">
        <f>IF(C11="","",IFERROR(IF(I11="","",((I11/10000)*V11*X11)*AD11),"Error ▲"))</f>
        <v>0</v>
      </c>
      <c r="M11" s="408">
        <f>IF(I11="","",IF(J11+K11&gt;I11,"Area Error ▲",I11-J11-K11))</f>
        <v>2746</v>
      </c>
      <c r="N11" s="409">
        <f>IFERROR(IF(I11="","",IF(M11="Area Error ▲","Area Error ▲",((M11/10000)*V11*X11)*AD11)),"This intervention is not permitted within the SSM ▲")</f>
        <v>0</v>
      </c>
      <c r="O11" s="67"/>
      <c r="P11" s="5"/>
      <c r="Q11" s="25"/>
      <c r="R11" s="653"/>
      <c r="S11" s="25"/>
      <c r="T11" s="662" t="str">
        <f>IF(C11="","",VLOOKUP(D11,'9. All Habitats + Multipliers'!$C$4:$K$102,5,FALSE))</f>
        <v>V.Low</v>
      </c>
      <c r="U11" s="663"/>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2746</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8.5" x14ac:dyDescent="0.45">
      <c r="A12" s="25"/>
      <c r="B12" s="264">
        <v>2</v>
      </c>
      <c r="C12" s="258" t="s">
        <v>212</v>
      </c>
      <c r="D12" s="823" t="s">
        <v>348</v>
      </c>
      <c r="E12" s="824"/>
      <c r="F12" s="766" t="s">
        <v>115</v>
      </c>
      <c r="G12" s="767"/>
      <c r="H12" s="768"/>
      <c r="I12" s="305">
        <v>501</v>
      </c>
      <c r="J12" s="306"/>
      <c r="K12" s="307"/>
      <c r="L12" s="301">
        <f t="shared" ref="L12:L30" si="0">IF(C12="","",IFERROR(IF(I12="","",((I12/10000)*V12*X12)*AD12),"Error ▲"))</f>
        <v>0.20039999999999999</v>
      </c>
      <c r="M12" s="301">
        <f t="shared" ref="M12:M30" si="1">IF(I12="","",IF(J12+K12&gt;I12,"Area Error ▲",I12-J12-K12))</f>
        <v>501</v>
      </c>
      <c r="N12" s="356">
        <f t="shared" ref="N12:N30" si="2">IFERROR(IF(I12="","",IF(M12="Area Error ▲","Area Error ▲",((M12/10000)*V12*X12)*AD12)),"This intervention is not permitted within the SSM ▲")</f>
        <v>0.20039999999999999</v>
      </c>
      <c r="O12" s="68"/>
      <c r="P12" s="3"/>
      <c r="Q12" s="25"/>
      <c r="R12" s="653"/>
      <c r="S12" s="25"/>
      <c r="T12" s="662" t="str">
        <f>IF(C12="","",VLOOKUP(D12,'9. All Habitats + Multipliers'!$C$4:$K$102,5,FALSE))</f>
        <v>Low</v>
      </c>
      <c r="U12" s="663"/>
      <c r="V12" s="94">
        <f>IF(T12="","",VLOOKUP(T12,'11. Lists'!$B$47:$D$49,2,FALSE))</f>
        <v>2</v>
      </c>
      <c r="W12" s="184" t="str">
        <f>IF(C12="","",VLOOKUP(D12,'10. Condition and Temporal'!$B$6:$C$103,2,FALSE))</f>
        <v>Moderate</v>
      </c>
      <c r="X12" s="94">
        <f>IF(W12="","",VLOOKUP(W12,'11. Lists'!$F$47:$G$51,2,FALSE))</f>
        <v>2</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501</v>
      </c>
      <c r="AH12" s="511" t="str">
        <f>IF(T12="","",VLOOKUP(T12,'11. Lists'!$B$47:$D$49,3,FALSE))</f>
        <v>Same distinctiveness or better habitat required</v>
      </c>
      <c r="AI12" s="545" t="str">
        <f>IF(D12="","",VLOOKUP(D12,'10. Condition and Temporal'!$B$6:$L$103,4,FALSE))</f>
        <v>Vacant or derelict land</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28.5" x14ac:dyDescent="0.45">
      <c r="A13" s="25"/>
      <c r="B13" s="264">
        <v>3</v>
      </c>
      <c r="C13" s="258" t="s">
        <v>213</v>
      </c>
      <c r="D13" s="823" t="s">
        <v>353</v>
      </c>
      <c r="E13" s="824"/>
      <c r="F13" s="766" t="s">
        <v>115</v>
      </c>
      <c r="G13" s="767"/>
      <c r="H13" s="768"/>
      <c r="I13" s="305">
        <v>174</v>
      </c>
      <c r="J13" s="306"/>
      <c r="K13" s="307"/>
      <c r="L13" s="301">
        <f t="shared" si="0"/>
        <v>0.13919999999999999</v>
      </c>
      <c r="M13" s="301">
        <f t="shared" si="1"/>
        <v>174</v>
      </c>
      <c r="N13" s="356">
        <f t="shared" si="2"/>
        <v>0.13919999999999999</v>
      </c>
      <c r="O13" s="68"/>
      <c r="P13" s="3"/>
      <c r="Q13" s="25"/>
      <c r="R13" s="653"/>
      <c r="S13" s="25"/>
      <c r="T13" s="662" t="str">
        <f>IF(C13="","",VLOOKUP(D13,'9. All Habitats + Multipliers'!$C$4:$K$102,5,FALSE))</f>
        <v>Medium</v>
      </c>
      <c r="U13" s="663"/>
      <c r="V13" s="94">
        <f>IF(T13="","",VLOOKUP(T13,'11. Lists'!$B$47:$D$49,2,FALSE))</f>
        <v>4</v>
      </c>
      <c r="W13" s="184" t="str">
        <f>IF(C13="","",VLOOKUP(D13,'10. Condition and Temporal'!$B$6:$C$103,2,FALSE))</f>
        <v>Moderate</v>
      </c>
      <c r="X13" s="94">
        <f>IF(W13="","",VLOOKUP(W13,'11. Lists'!$F$47:$G$51,2,FALSE))</f>
        <v>2</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174</v>
      </c>
      <c r="AH13" s="511" t="str">
        <f>IF(T13="","",VLOOKUP(T13,'11. Lists'!$B$47:$D$49,3,FALSE))</f>
        <v>Same broad habitat or a higher distinctiveness habitat required</v>
      </c>
      <c r="AI13" s="545" t="str">
        <f>IF(D13="","",VLOOKUP(D13,'10. Condition and Temporal'!$B$6:$L$103,4,FALSE))</f>
        <v>Other woodland; broadleaved</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x14ac:dyDescent="0.45">
      <c r="A14" s="25"/>
      <c r="B14" s="264">
        <v>4</v>
      </c>
      <c r="C14" s="258"/>
      <c r="D14" s="720"/>
      <c r="E14" s="721"/>
      <c r="F14" s="766"/>
      <c r="G14" s="767"/>
      <c r="H14" s="768"/>
      <c r="I14" s="305"/>
      <c r="J14" s="306"/>
      <c r="K14" s="307"/>
      <c r="L14" s="301" t="str">
        <f t="shared" si="0"/>
        <v/>
      </c>
      <c r="M14" s="301" t="str">
        <f t="shared" si="1"/>
        <v/>
      </c>
      <c r="N14" s="356" t="str">
        <f t="shared" si="2"/>
        <v/>
      </c>
      <c r="O14" s="68"/>
      <c r="P14" s="3"/>
      <c r="Q14" s="25"/>
      <c r="R14" s="653"/>
      <c r="S14" s="25"/>
      <c r="T14" s="662" t="str">
        <f>IF(C14="","",VLOOKUP(D14,'9. All Habitats + Multipliers'!$C$4:$K$102,5,FALSE))</f>
        <v/>
      </c>
      <c r="U14" s="663"/>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x14ac:dyDescent="0.45">
      <c r="A15" s="25"/>
      <c r="B15" s="264">
        <v>5</v>
      </c>
      <c r="C15" s="258"/>
      <c r="D15" s="823"/>
      <c r="E15" s="824"/>
      <c r="F15" s="766"/>
      <c r="G15" s="767"/>
      <c r="H15" s="768"/>
      <c r="I15" s="305"/>
      <c r="J15" s="306"/>
      <c r="K15" s="307"/>
      <c r="L15" s="301" t="str">
        <f t="shared" si="0"/>
        <v/>
      </c>
      <c r="M15" s="301" t="str">
        <f t="shared" si="1"/>
        <v/>
      </c>
      <c r="N15" s="356" t="str">
        <f t="shared" si="2"/>
        <v/>
      </c>
      <c r="O15" s="68"/>
      <c r="P15" s="3"/>
      <c r="Q15" s="25"/>
      <c r="R15" s="653"/>
      <c r="S15" s="25"/>
      <c r="T15" s="662" t="str">
        <f>IF(C15="","",VLOOKUP(D15,'9. All Habitats + Multipliers'!$C$4:$K$102,5,FALSE))</f>
        <v/>
      </c>
      <c r="U15" s="663"/>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x14ac:dyDescent="0.45">
      <c r="A16" s="25"/>
      <c r="B16" s="264">
        <v>6</v>
      </c>
      <c r="C16" s="258"/>
      <c r="D16" s="823"/>
      <c r="E16" s="824"/>
      <c r="F16" s="766"/>
      <c r="G16" s="767"/>
      <c r="H16" s="768"/>
      <c r="I16" s="305"/>
      <c r="J16" s="306"/>
      <c r="K16" s="307"/>
      <c r="L16" s="301" t="str">
        <f t="shared" si="0"/>
        <v/>
      </c>
      <c r="M16" s="301" t="str">
        <f t="shared" si="1"/>
        <v/>
      </c>
      <c r="N16" s="356" t="str">
        <f t="shared" si="2"/>
        <v/>
      </c>
      <c r="O16" s="68"/>
      <c r="P16" s="3"/>
      <c r="Q16" s="25"/>
      <c r="R16" s="653"/>
      <c r="S16" s="25"/>
      <c r="T16" s="662" t="str">
        <f>IF(C16="","",VLOOKUP(D16,'9. All Habitats + Multipliers'!$C$4:$K$102,5,FALSE))</f>
        <v/>
      </c>
      <c r="U16" s="663"/>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x14ac:dyDescent="0.45">
      <c r="A17" s="25"/>
      <c r="B17" s="264">
        <v>7</v>
      </c>
      <c r="C17" s="258"/>
      <c r="D17" s="823"/>
      <c r="E17" s="824"/>
      <c r="F17" s="766"/>
      <c r="G17" s="767"/>
      <c r="H17" s="768"/>
      <c r="I17" s="305"/>
      <c r="J17" s="306"/>
      <c r="K17" s="307"/>
      <c r="L17" s="301" t="str">
        <f t="shared" si="0"/>
        <v/>
      </c>
      <c r="M17" s="301" t="str">
        <f t="shared" si="1"/>
        <v/>
      </c>
      <c r="N17" s="356" t="str">
        <f t="shared" si="2"/>
        <v/>
      </c>
      <c r="O17" s="68"/>
      <c r="P17" s="3"/>
      <c r="Q17" s="25"/>
      <c r="R17" s="653"/>
      <c r="S17" s="25"/>
      <c r="T17" s="662" t="str">
        <f>IF(C17="","",VLOOKUP(D17,'9. All Habitats + Multipliers'!$C$4:$K$102,5,FALSE))</f>
        <v/>
      </c>
      <c r="U17" s="663"/>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x14ac:dyDescent="0.45">
      <c r="A18" s="25"/>
      <c r="B18" s="264">
        <v>8</v>
      </c>
      <c r="C18" s="258"/>
      <c r="D18" s="823"/>
      <c r="E18" s="824"/>
      <c r="F18" s="766"/>
      <c r="G18" s="767"/>
      <c r="H18" s="768"/>
      <c r="I18" s="305"/>
      <c r="J18" s="306"/>
      <c r="K18" s="307"/>
      <c r="L18" s="301" t="str">
        <f t="shared" si="0"/>
        <v/>
      </c>
      <c r="M18" s="301" t="str">
        <f t="shared" si="1"/>
        <v/>
      </c>
      <c r="N18" s="356" t="str">
        <f t="shared" si="2"/>
        <v/>
      </c>
      <c r="O18" s="68"/>
      <c r="P18" s="3"/>
      <c r="Q18" s="25"/>
      <c r="R18" s="653"/>
      <c r="S18" s="25"/>
      <c r="T18" s="662" t="str">
        <f>IF(C18="","",VLOOKUP(D18,'9. All Habitats + Multipliers'!$C$4:$K$102,5,FALSE))</f>
        <v/>
      </c>
      <c r="U18" s="663"/>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x14ac:dyDescent="0.45">
      <c r="A19" s="25"/>
      <c r="B19" s="264">
        <v>9</v>
      </c>
      <c r="C19" s="258"/>
      <c r="D19" s="823"/>
      <c r="E19" s="824"/>
      <c r="F19" s="766"/>
      <c r="G19" s="767"/>
      <c r="H19" s="768"/>
      <c r="I19" s="305"/>
      <c r="J19" s="306"/>
      <c r="K19" s="307"/>
      <c r="L19" s="301" t="str">
        <f t="shared" si="0"/>
        <v/>
      </c>
      <c r="M19" s="301" t="str">
        <f t="shared" si="1"/>
        <v/>
      </c>
      <c r="N19" s="356" t="str">
        <f t="shared" si="2"/>
        <v/>
      </c>
      <c r="O19" s="68"/>
      <c r="P19" s="3"/>
      <c r="Q19" s="25"/>
      <c r="R19" s="653"/>
      <c r="S19" s="25"/>
      <c r="T19" s="662" t="str">
        <f>IF(C19="","",VLOOKUP(D19,'9. All Habitats + Multipliers'!$C$4:$K$102,5,FALSE))</f>
        <v/>
      </c>
      <c r="U19" s="663"/>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x14ac:dyDescent="0.45">
      <c r="A20" s="25"/>
      <c r="B20" s="264">
        <v>10</v>
      </c>
      <c r="C20" s="258"/>
      <c r="D20" s="823"/>
      <c r="E20" s="824"/>
      <c r="F20" s="766"/>
      <c r="G20" s="767"/>
      <c r="H20" s="768"/>
      <c r="I20" s="305"/>
      <c r="J20" s="306"/>
      <c r="K20" s="307"/>
      <c r="L20" s="301" t="str">
        <f t="shared" si="0"/>
        <v/>
      </c>
      <c r="M20" s="301" t="str">
        <f t="shared" si="1"/>
        <v/>
      </c>
      <c r="N20" s="356" t="str">
        <f t="shared" si="2"/>
        <v/>
      </c>
      <c r="O20" s="69"/>
      <c r="P20" s="8"/>
      <c r="Q20" s="25"/>
      <c r="R20" s="653"/>
      <c r="S20" s="25"/>
      <c r="T20" s="662" t="str">
        <f>IF(C20="","",VLOOKUP(D20,'9. All Habitats + Multipliers'!$C$4:$K$102,5,FALSE))</f>
        <v/>
      </c>
      <c r="U20" s="663"/>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x14ac:dyDescent="0.45">
      <c r="A21" s="25"/>
      <c r="B21" s="264">
        <v>11</v>
      </c>
      <c r="C21" s="258"/>
      <c r="D21" s="823"/>
      <c r="E21" s="824"/>
      <c r="F21" s="766"/>
      <c r="G21" s="767"/>
      <c r="H21" s="768"/>
      <c r="I21" s="305"/>
      <c r="J21" s="306"/>
      <c r="K21" s="307"/>
      <c r="L21" s="301" t="str">
        <f t="shared" si="0"/>
        <v/>
      </c>
      <c r="M21" s="301" t="str">
        <f t="shared" si="1"/>
        <v/>
      </c>
      <c r="N21" s="356" t="str">
        <f t="shared" si="2"/>
        <v/>
      </c>
      <c r="O21" s="69"/>
      <c r="P21" s="8"/>
      <c r="Q21" s="25"/>
      <c r="R21" s="653"/>
      <c r="S21" s="25"/>
      <c r="T21" s="662" t="str">
        <f>IF(C21="","",VLOOKUP(D21,'9. All Habitats + Multipliers'!$C$4:$K$102,5,FALSE))</f>
        <v/>
      </c>
      <c r="U21" s="663"/>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x14ac:dyDescent="0.45">
      <c r="A22" s="25"/>
      <c r="B22" s="264">
        <v>12</v>
      </c>
      <c r="C22" s="258"/>
      <c r="D22" s="823"/>
      <c r="E22" s="824"/>
      <c r="F22" s="766"/>
      <c r="G22" s="767"/>
      <c r="H22" s="768"/>
      <c r="I22" s="305"/>
      <c r="J22" s="306"/>
      <c r="K22" s="307"/>
      <c r="L22" s="301" t="str">
        <f t="shared" si="0"/>
        <v/>
      </c>
      <c r="M22" s="301" t="str">
        <f t="shared" si="1"/>
        <v/>
      </c>
      <c r="N22" s="356" t="str">
        <f t="shared" si="2"/>
        <v/>
      </c>
      <c r="O22" s="69"/>
      <c r="P22" s="8"/>
      <c r="Q22" s="25"/>
      <c r="R22" s="653"/>
      <c r="S22" s="25"/>
      <c r="T22" s="662" t="str">
        <f>IF(C22="","",VLOOKUP(D22,'9. All Habitats + Multipliers'!$C$4:$K$102,5,FALSE))</f>
        <v/>
      </c>
      <c r="U22" s="663"/>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x14ac:dyDescent="0.45">
      <c r="A23" s="25"/>
      <c r="B23" s="264">
        <v>13</v>
      </c>
      <c r="C23" s="259"/>
      <c r="D23" s="823"/>
      <c r="E23" s="824"/>
      <c r="F23" s="766"/>
      <c r="G23" s="767"/>
      <c r="H23" s="768"/>
      <c r="I23" s="305"/>
      <c r="J23" s="306"/>
      <c r="K23" s="307"/>
      <c r="L23" s="301" t="str">
        <f t="shared" si="0"/>
        <v/>
      </c>
      <c r="M23" s="301" t="str">
        <f t="shared" si="1"/>
        <v/>
      </c>
      <c r="N23" s="356" t="str">
        <f t="shared" si="2"/>
        <v/>
      </c>
      <c r="O23" s="69"/>
      <c r="P23" s="8"/>
      <c r="Q23" s="25"/>
      <c r="R23" s="653"/>
      <c r="S23" s="25"/>
      <c r="T23" s="662" t="str">
        <f>IF(C23="","",VLOOKUP(D23,'9. All Habitats + Multipliers'!$C$4:$K$102,5,FALSE))</f>
        <v/>
      </c>
      <c r="U23" s="663"/>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x14ac:dyDescent="0.45">
      <c r="A24" s="25"/>
      <c r="B24" s="264">
        <v>14</v>
      </c>
      <c r="C24" s="259"/>
      <c r="D24" s="823"/>
      <c r="E24" s="824"/>
      <c r="F24" s="766"/>
      <c r="G24" s="767"/>
      <c r="H24" s="768"/>
      <c r="I24" s="305"/>
      <c r="J24" s="306"/>
      <c r="K24" s="307"/>
      <c r="L24" s="301" t="str">
        <f t="shared" si="0"/>
        <v/>
      </c>
      <c r="M24" s="301" t="str">
        <f t="shared" si="1"/>
        <v/>
      </c>
      <c r="N24" s="356" t="str">
        <f t="shared" si="2"/>
        <v/>
      </c>
      <c r="O24" s="69"/>
      <c r="P24" s="8"/>
      <c r="Q24" s="25"/>
      <c r="R24" s="653"/>
      <c r="S24" s="25"/>
      <c r="T24" s="662" t="str">
        <f>IF(C24="","",VLOOKUP(D24,'9. All Habitats + Multipliers'!$C$4:$K$102,5,FALSE))</f>
        <v/>
      </c>
      <c r="U24" s="663"/>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x14ac:dyDescent="0.45">
      <c r="A25" s="25"/>
      <c r="B25" s="264">
        <v>15</v>
      </c>
      <c r="C25" s="259"/>
      <c r="D25" s="823"/>
      <c r="E25" s="824"/>
      <c r="F25" s="766"/>
      <c r="G25" s="767"/>
      <c r="H25" s="768"/>
      <c r="I25" s="305"/>
      <c r="J25" s="306"/>
      <c r="K25" s="307"/>
      <c r="L25" s="301" t="str">
        <f t="shared" si="0"/>
        <v/>
      </c>
      <c r="M25" s="301" t="str">
        <f t="shared" si="1"/>
        <v/>
      </c>
      <c r="N25" s="356" t="str">
        <f t="shared" si="2"/>
        <v/>
      </c>
      <c r="O25" s="69"/>
      <c r="P25" s="8"/>
      <c r="Q25" s="25"/>
      <c r="R25" s="653"/>
      <c r="S25" s="25"/>
      <c r="T25" s="662" t="str">
        <f>IF(C25="","",VLOOKUP(D25,'9. All Habitats + Multipliers'!$C$4:$K$102,5,FALSE))</f>
        <v/>
      </c>
      <c r="U25" s="663"/>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x14ac:dyDescent="0.45">
      <c r="A26" s="25"/>
      <c r="B26" s="264">
        <v>16</v>
      </c>
      <c r="C26" s="259"/>
      <c r="D26" s="823"/>
      <c r="E26" s="824"/>
      <c r="F26" s="766"/>
      <c r="G26" s="767"/>
      <c r="H26" s="768"/>
      <c r="I26" s="305"/>
      <c r="J26" s="306"/>
      <c r="K26" s="307"/>
      <c r="L26" s="301" t="str">
        <f t="shared" si="0"/>
        <v/>
      </c>
      <c r="M26" s="301" t="str">
        <f t="shared" si="1"/>
        <v/>
      </c>
      <c r="N26" s="356" t="str">
        <f t="shared" si="2"/>
        <v/>
      </c>
      <c r="O26" s="69"/>
      <c r="P26" s="8"/>
      <c r="Q26" s="25"/>
      <c r="R26" s="653"/>
      <c r="S26" s="25"/>
      <c r="T26" s="662" t="str">
        <f>IF(C26="","",VLOOKUP(D26,'9. All Habitats + Multipliers'!$C$4:$K$102,5,FALSE))</f>
        <v/>
      </c>
      <c r="U26" s="663"/>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x14ac:dyDescent="0.45">
      <c r="A27" s="25"/>
      <c r="B27" s="264">
        <v>17</v>
      </c>
      <c r="C27" s="259"/>
      <c r="D27" s="823"/>
      <c r="E27" s="824"/>
      <c r="F27" s="766"/>
      <c r="G27" s="767"/>
      <c r="H27" s="768"/>
      <c r="I27" s="305"/>
      <c r="J27" s="306"/>
      <c r="K27" s="307"/>
      <c r="L27" s="301" t="str">
        <f t="shared" si="0"/>
        <v/>
      </c>
      <c r="M27" s="301" t="str">
        <f t="shared" si="1"/>
        <v/>
      </c>
      <c r="N27" s="356" t="str">
        <f t="shared" si="2"/>
        <v/>
      </c>
      <c r="O27" s="69"/>
      <c r="P27" s="8"/>
      <c r="Q27" s="25"/>
      <c r="R27" s="653"/>
      <c r="S27" s="25"/>
      <c r="T27" s="662" t="str">
        <f>IF(C27="","",VLOOKUP(D27,'9. All Habitats + Multipliers'!$C$4:$K$102,5,FALSE))</f>
        <v/>
      </c>
      <c r="U27" s="663"/>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x14ac:dyDescent="0.45">
      <c r="A28" s="25"/>
      <c r="B28" s="264">
        <v>18</v>
      </c>
      <c r="C28" s="259"/>
      <c r="D28" s="823"/>
      <c r="E28" s="824"/>
      <c r="F28" s="766"/>
      <c r="G28" s="767"/>
      <c r="H28" s="768"/>
      <c r="I28" s="305"/>
      <c r="J28" s="306"/>
      <c r="K28" s="307"/>
      <c r="L28" s="301" t="str">
        <f t="shared" si="0"/>
        <v/>
      </c>
      <c r="M28" s="301" t="str">
        <f t="shared" si="1"/>
        <v/>
      </c>
      <c r="N28" s="356" t="str">
        <f t="shared" si="2"/>
        <v/>
      </c>
      <c r="O28" s="69"/>
      <c r="P28" s="8"/>
      <c r="Q28" s="25"/>
      <c r="R28" s="653"/>
      <c r="S28" s="25"/>
      <c r="T28" s="662" t="str">
        <f>IF(C28="","",VLOOKUP(D28,'9. All Habitats + Multipliers'!$C$4:$K$102,5,FALSE))</f>
        <v/>
      </c>
      <c r="U28" s="663"/>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x14ac:dyDescent="0.45">
      <c r="A29" s="25"/>
      <c r="B29" s="264">
        <v>19</v>
      </c>
      <c r="C29" s="259"/>
      <c r="D29" s="823"/>
      <c r="E29" s="824"/>
      <c r="F29" s="766"/>
      <c r="G29" s="767"/>
      <c r="H29" s="768"/>
      <c r="I29" s="305"/>
      <c r="J29" s="306"/>
      <c r="K29" s="307"/>
      <c r="L29" s="301" t="str">
        <f t="shared" si="0"/>
        <v/>
      </c>
      <c r="M29" s="301" t="str">
        <f t="shared" si="1"/>
        <v/>
      </c>
      <c r="N29" s="356" t="str">
        <f t="shared" si="2"/>
        <v/>
      </c>
      <c r="O29" s="69"/>
      <c r="P29" s="8"/>
      <c r="Q29" s="25"/>
      <c r="R29" s="653"/>
      <c r="S29" s="25"/>
      <c r="T29" s="662" t="str">
        <f>IF(C29="","",VLOOKUP(D29,'9. All Habitats + Multipliers'!$C$4:$K$102,5,FALSE))</f>
        <v/>
      </c>
      <c r="U29" s="663"/>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149999999999999" thickBot="1" x14ac:dyDescent="0.5">
      <c r="A30" s="25"/>
      <c r="B30" s="265">
        <v>20</v>
      </c>
      <c r="C30" s="258"/>
      <c r="D30" s="832"/>
      <c r="E30" s="833"/>
      <c r="F30" s="766"/>
      <c r="G30" s="767"/>
      <c r="H30" s="768"/>
      <c r="I30" s="305"/>
      <c r="J30" s="306"/>
      <c r="K30" s="307"/>
      <c r="L30" s="410" t="str">
        <f t="shared" si="0"/>
        <v/>
      </c>
      <c r="M30" s="410" t="str">
        <f t="shared" si="1"/>
        <v/>
      </c>
      <c r="N30" s="411" t="str">
        <f t="shared" si="2"/>
        <v/>
      </c>
      <c r="O30" s="70"/>
      <c r="P30" s="4"/>
      <c r="Q30" s="25"/>
      <c r="R30" s="653"/>
      <c r="S30" s="25"/>
      <c r="T30" s="662" t="str">
        <f>IF(C30="","",VLOOKUP(D30,'9. All Habitats + Multipliers'!$C$4:$K$102,5,FALSE))</f>
        <v/>
      </c>
      <c r="U30" s="663"/>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8.9" thickBot="1" x14ac:dyDescent="0.5">
      <c r="A31" s="25"/>
      <c r="B31" s="265" t="s">
        <v>92</v>
      </c>
      <c r="C31" s="97" t="s">
        <v>93</v>
      </c>
      <c r="D31" s="831" t="s">
        <v>94</v>
      </c>
      <c r="E31" s="747"/>
      <c r="F31" s="781" t="s">
        <v>95</v>
      </c>
      <c r="G31" s="782"/>
      <c r="H31" s="783"/>
      <c r="I31" s="324">
        <f>I99</f>
        <v>0</v>
      </c>
      <c r="J31" s="325">
        <f>L99</f>
        <v>0</v>
      </c>
      <c r="K31" s="426"/>
      <c r="L31" s="405">
        <f>IF(C31="","",((I31/10000)*V31*X31)*AD31)</f>
        <v>0</v>
      </c>
      <c r="M31" s="412">
        <f>IF(C31="","",I31-J31-K31)</f>
        <v>0</v>
      </c>
      <c r="N31" s="413">
        <f>IF(C31="","",((M31/10000)*V31*X31)*AD31)</f>
        <v>0</v>
      </c>
      <c r="O31" s="13"/>
      <c r="P31" s="14"/>
      <c r="Q31" s="25"/>
      <c r="R31" s="653"/>
      <c r="S31" s="25"/>
      <c r="T31" s="664" t="str">
        <f>IF(C31="","",VLOOKUP(D31,'9. All Habitats + Multipliers'!$C$4:$K$102,5,FALSE))</f>
        <v>Medium</v>
      </c>
      <c r="U31" s="665"/>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4.65" thickBot="1" x14ac:dyDescent="0.5">
      <c r="D32" s="89"/>
      <c r="E32" s="103"/>
      <c r="F32" s="103"/>
      <c r="G32" s="103"/>
      <c r="H32" s="499" t="s">
        <v>96</v>
      </c>
      <c r="I32" s="326">
        <f>SUMIFS(I11:I30,D11:D30,"&lt;&gt;"&amp;'11. Lists'!Q10,D11:D30,"&lt;&gt;"&amp;'11. Lists'!Q11,D11:D30,"&lt;&gt;"&amp;'11. Lists'!I4,D11:D30,"&lt;&gt;"&amp;'11. Lists'!I2,D11:D30,"&lt;&gt;"&amp;'11. Lists'!I3)</f>
        <v>3421</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0.33960000000000001</v>
      </c>
      <c r="M32" s="319">
        <f>SUMIFS(M11:M30,D11:D30,"&lt;&gt;"&amp;'11. Lists'!Q10,D11:D30,"&lt;&gt;"&amp;'11. Lists'!Q11,D11:D30,"&lt;&gt;"&amp;'11. Lists'!I4,D11:D30,"&lt;&gt;"&amp;'11. Lists'!I2,D11:D30,"&lt;&gt;"&amp;'11. Lists'!I3)</f>
        <v>3421</v>
      </c>
      <c r="N32" s="280">
        <f>SUM(N11:N31)</f>
        <v>0.33960000000000001</v>
      </c>
      <c r="R32" s="653"/>
    </row>
    <row r="33" spans="2:34" s="25" customFormat="1" x14ac:dyDescent="0.45">
      <c r="D33" s="89"/>
      <c r="E33" s="103"/>
      <c r="F33" s="103"/>
      <c r="G33" s="103"/>
      <c r="H33" s="281" t="s">
        <v>97</v>
      </c>
      <c r="I33" s="78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7"/>
      <c r="K33" s="787"/>
      <c r="L33" s="787"/>
      <c r="M33" s="787"/>
      <c r="N33" s="788"/>
      <c r="O33" s="157">
        <f>IFERROR(FIND("Error",I33),0)</f>
        <v>0</v>
      </c>
      <c r="R33" s="104"/>
    </row>
    <row r="34" spans="2:34" s="25" customFormat="1" x14ac:dyDescent="0.45">
      <c r="D34" s="89"/>
      <c r="E34" s="103"/>
      <c r="F34" s="103"/>
      <c r="G34" s="103"/>
      <c r="H34" s="282" t="s">
        <v>98</v>
      </c>
      <c r="I34" s="789" t="str">
        <f>IF(I32&lt;J32+K32,"Error - Areas Retained and Enhanced Exceed Total Area ▲","Areas Acceptable ✓")</f>
        <v>Areas Acceptable ✓</v>
      </c>
      <c r="J34" s="789"/>
      <c r="K34" s="789"/>
      <c r="L34" s="789"/>
      <c r="M34" s="789"/>
      <c r="N34" s="790"/>
      <c r="O34" s="157">
        <f>IFERROR(FIND("Error",I34),0)</f>
        <v>0</v>
      </c>
      <c r="R34" s="104"/>
    </row>
    <row r="35" spans="2:34" s="25" customFormat="1" ht="14.65" thickBot="1" x14ac:dyDescent="0.5">
      <c r="D35" s="89"/>
      <c r="E35" s="103"/>
      <c r="F35" s="103"/>
      <c r="G35" s="103"/>
      <c r="H35" s="272" t="s">
        <v>99</v>
      </c>
      <c r="I35" s="764" t="str">
        <f>IF(I32=0,"Areas Acceptable ✓",IF(I32&lt;&gt;'3. Desktop Assessment'!C7,"Error - Areas Entered Does Not Match Stated Site Area ▲","Areas Acceptable ✓"))</f>
        <v>Areas Acceptable ✓</v>
      </c>
      <c r="J35" s="764"/>
      <c r="K35" s="764"/>
      <c r="L35" s="764"/>
      <c r="M35" s="764"/>
      <c r="N35" s="765"/>
      <c r="O35" s="157">
        <f>IFERROR(FIND("Error",I35),0)</f>
        <v>0</v>
      </c>
      <c r="R35" s="653" t="s">
        <v>55</v>
      </c>
    </row>
    <row r="36" spans="2:34" s="25" customFormat="1" ht="21" x14ac:dyDescent="0.65">
      <c r="B36" s="57" t="s">
        <v>100</v>
      </c>
      <c r="D36" s="88"/>
      <c r="E36" s="103"/>
      <c r="F36" s="103"/>
      <c r="G36" s="103"/>
      <c r="I36" s="26"/>
      <c r="O36" s="157">
        <f>COUNTIF(L11:N30,"*"&amp;"error"&amp;"*")</f>
        <v>0</v>
      </c>
      <c r="R36" s="653"/>
    </row>
    <row r="37" spans="2:34" s="25" customFormat="1" ht="15.75" customHeight="1" thickBot="1" x14ac:dyDescent="0.5">
      <c r="R37" s="653"/>
    </row>
    <row r="38" spans="2:34" s="25" customFormat="1" ht="16.149999999999999" customHeight="1" x14ac:dyDescent="0.45">
      <c r="B38" s="735" t="s">
        <v>49</v>
      </c>
      <c r="C38" s="725"/>
      <c r="D38" s="738"/>
      <c r="E38" s="724" t="s">
        <v>101</v>
      </c>
      <c r="F38" s="784"/>
      <c r="G38" s="726"/>
      <c r="H38" s="784" t="s">
        <v>102</v>
      </c>
      <c r="I38" s="756" t="s">
        <v>103</v>
      </c>
      <c r="J38" s="757"/>
      <c r="K38" s="758"/>
      <c r="L38" s="769" t="s">
        <v>104</v>
      </c>
      <c r="M38" s="725"/>
      <c r="N38" s="738"/>
      <c r="O38" s="724" t="s">
        <v>68</v>
      </c>
      <c r="P38" s="726"/>
      <c r="R38" s="653"/>
      <c r="T38" s="681" t="s">
        <v>69</v>
      </c>
      <c r="U38" s="682"/>
      <c r="V38" s="683"/>
      <c r="W38" s="762" t="s">
        <v>70</v>
      </c>
      <c r="X38" s="683"/>
      <c r="Y38" s="763"/>
      <c r="Z38" s="763"/>
      <c r="AA38" s="763"/>
      <c r="AB38" s="681" t="s">
        <v>71</v>
      </c>
      <c r="AC38" s="682"/>
      <c r="AD38" s="683"/>
      <c r="AE38" s="681" t="s">
        <v>105</v>
      </c>
      <c r="AF38" s="683"/>
      <c r="AG38" s="681" t="s">
        <v>106</v>
      </c>
      <c r="AH38" s="683"/>
    </row>
    <row r="39" spans="2:34" s="25" customFormat="1" ht="31.9" thickBot="1" x14ac:dyDescent="0.5">
      <c r="B39" s="736"/>
      <c r="C39" s="197" t="s">
        <v>75</v>
      </c>
      <c r="D39" s="198" t="s">
        <v>107</v>
      </c>
      <c r="E39" s="86" t="s">
        <v>108</v>
      </c>
      <c r="F39" s="722" t="s">
        <v>109</v>
      </c>
      <c r="G39" s="723"/>
      <c r="H39" s="785"/>
      <c r="I39" s="759"/>
      <c r="J39" s="760"/>
      <c r="K39" s="761"/>
      <c r="L39" s="770"/>
      <c r="M39" s="771"/>
      <c r="N39" s="722"/>
      <c r="O39" s="86" t="s">
        <v>83</v>
      </c>
      <c r="P39" s="90" t="s">
        <v>84</v>
      </c>
      <c r="R39" s="653"/>
      <c r="T39" s="679" t="s">
        <v>85</v>
      </c>
      <c r="U39" s="680"/>
      <c r="V39" s="92" t="s">
        <v>86</v>
      </c>
      <c r="W39" s="334" t="s">
        <v>87</v>
      </c>
      <c r="X39" s="92" t="s">
        <v>86</v>
      </c>
      <c r="Y39" s="346"/>
      <c r="Z39" s="346"/>
      <c r="AA39" s="346"/>
      <c r="AB39" s="91" t="s">
        <v>71</v>
      </c>
      <c r="AC39" s="49" t="s">
        <v>71</v>
      </c>
      <c r="AD39" s="92" t="s">
        <v>88</v>
      </c>
      <c r="AE39" s="91" t="s">
        <v>110</v>
      </c>
      <c r="AF39" s="92" t="s">
        <v>111</v>
      </c>
      <c r="AG39" s="91" t="s">
        <v>112</v>
      </c>
      <c r="AH39" s="92" t="s">
        <v>113</v>
      </c>
    </row>
    <row r="40" spans="2:34" s="25" customFormat="1" ht="28.5" x14ac:dyDescent="0.45">
      <c r="B40" s="263">
        <v>1</v>
      </c>
      <c r="C40" s="76" t="s">
        <v>212</v>
      </c>
      <c r="D40" s="73" t="s">
        <v>337</v>
      </c>
      <c r="E40" s="342" t="str">
        <f>IF(D40="","",VLOOKUP(D40,'10. Condition and Temporal'!$B$6:$D$103,3,FALSE))</f>
        <v>N/A - Other</v>
      </c>
      <c r="F40" s="825" t="s">
        <v>390</v>
      </c>
      <c r="G40" s="826"/>
      <c r="H40" s="72" t="s">
        <v>115</v>
      </c>
      <c r="I40" s="717">
        <v>2773</v>
      </c>
      <c r="J40" s="718"/>
      <c r="K40" s="719"/>
      <c r="L40" s="710">
        <f>IF(C40="","",IFERROR(IF(I40="","",((I40/10000)*(V40*X40))*(AH40*AF40)*AD40),"This intervention is not permitted within the SSM ▲"))</f>
        <v>0</v>
      </c>
      <c r="M40" s="687"/>
      <c r="N40" s="711"/>
      <c r="O40" s="2"/>
      <c r="P40" s="1"/>
      <c r="Q40" s="106"/>
      <c r="R40" s="653"/>
      <c r="T40" s="662" t="str">
        <f>IF(C40="","",VLOOKUP(D40,'9. All Habitats + Multipliers'!$C$4:$K$102,5,FALSE))</f>
        <v>V.Low</v>
      </c>
      <c r="U40" s="663"/>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8.5" x14ac:dyDescent="0.45">
      <c r="B41" s="264">
        <v>2</v>
      </c>
      <c r="C41" s="77" t="s">
        <v>212</v>
      </c>
      <c r="D41" s="73" t="s">
        <v>343</v>
      </c>
      <c r="E41" s="342" t="str">
        <f>IF(D41="","",VLOOKUP(D41,'10. Condition and Temporal'!$B$6:$D$103,3,FALSE))</f>
        <v>Condition Assessment N/A</v>
      </c>
      <c r="F41" s="708" t="s">
        <v>389</v>
      </c>
      <c r="G41" s="709"/>
      <c r="H41" s="71" t="s">
        <v>115</v>
      </c>
      <c r="I41" s="717">
        <v>31</v>
      </c>
      <c r="J41" s="718"/>
      <c r="K41" s="719"/>
      <c r="L41" s="710">
        <f t="shared" ref="L41:L59" si="7">IF(C41="","",IFERROR(IF(I41="","",((I41/10000)*(V41*X41))*(AH41*AF41)*AD41),"This intervention is not permitted within the SSM ▲"))</f>
        <v>5.9829999999999996E-3</v>
      </c>
      <c r="M41" s="687"/>
      <c r="N41" s="711"/>
      <c r="O41" s="61"/>
      <c r="P41" s="12"/>
      <c r="Q41" s="106"/>
      <c r="R41" s="653"/>
      <c r="T41" s="662" t="str">
        <f>IF(C41="","",VLOOKUP(D41,'9. All Habitats + Multipliers'!$C$4:$K$102,5,FALSE))</f>
        <v>Low</v>
      </c>
      <c r="U41" s="663"/>
      <c r="V41" s="94">
        <f>IF(T41="","",VLOOKUP(T41,'11. Lists'!$B$47:$D$49,2,FALSE))</f>
        <v>2</v>
      </c>
      <c r="W41" s="184" t="str">
        <f>IF(F41="","",F41)</f>
        <v>Condition Assessment N/A</v>
      </c>
      <c r="X41" s="94">
        <f>IF(W41="","",VLOOKUP(W41,'11. Lists'!$F$47:$G$51,2,FALSE))</f>
        <v>1</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07">
        <f>IF(AE41="","",VLOOKUP(AE41,'11. Lists'!$I$47:$K$80,3,FALSE))</f>
        <v>0.96499999999999997</v>
      </c>
      <c r="AG41" s="93" t="str">
        <f>IF(D41="","",VLOOKUP(D41,'9. All Habitats + Multipliers'!$C$4:$K$102,7,FALSE))</f>
        <v>Low</v>
      </c>
      <c r="AH41" s="94">
        <f>IF(AG41="","",VLOOKUP(AG41,'11. Lists'!$J$35:$K$38,2,FALSE))</f>
        <v>1</v>
      </c>
    </row>
    <row r="42" spans="2:34" s="25" customFormat="1" ht="28.5" x14ac:dyDescent="0.45">
      <c r="B42" s="264">
        <v>3</v>
      </c>
      <c r="C42" s="77" t="s">
        <v>206</v>
      </c>
      <c r="D42" s="73" t="s">
        <v>309</v>
      </c>
      <c r="E42" s="342" t="str">
        <f>IF(D42="","",VLOOKUP(D42,'10. Condition and Temporal'!$B$6:$D$103,3,FALSE))</f>
        <v>Moderate, Good</v>
      </c>
      <c r="F42" s="708" t="s">
        <v>114</v>
      </c>
      <c r="G42" s="709"/>
      <c r="H42" s="71" t="s">
        <v>115</v>
      </c>
      <c r="I42" s="717">
        <v>617</v>
      </c>
      <c r="J42" s="718"/>
      <c r="K42" s="719"/>
      <c r="L42" s="710">
        <f t="shared" si="7"/>
        <v>0.21402002414807997</v>
      </c>
      <c r="M42" s="687"/>
      <c r="N42" s="711"/>
      <c r="O42" s="61"/>
      <c r="P42" s="12"/>
      <c r="Q42" s="106"/>
      <c r="R42" s="653"/>
      <c r="T42" s="662" t="str">
        <f>IF(C42="","",VLOOKUP(D42,'9. All Habitats + Multipliers'!$C$4:$K$102,5,FALSE))</f>
        <v>Low</v>
      </c>
      <c r="U42" s="663"/>
      <c r="V42" s="94">
        <f>IF(T42="","",VLOOKUP(T42,'11. Lists'!$B$47:$D$49,2,FALSE))</f>
        <v>2</v>
      </c>
      <c r="W42" s="184" t="str">
        <f>IF(F42="","",F42)</f>
        <v>Moderate</v>
      </c>
      <c r="X42" s="94">
        <f>IF(W42="","",VLOOKUP(W42,'11. Lists'!$F$47:$G$51,2,FALSE))</f>
        <v>2</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4</v>
      </c>
      <c r="AF42" s="107">
        <f>IF(AE42="","",VLOOKUP(AE42,'11. Lists'!$I$47:$K$80,3,FALSE))</f>
        <v>0.86718000059999989</v>
      </c>
      <c r="AG42" s="93" t="str">
        <f>IF(D42="","",VLOOKUP(D42,'9. All Habitats + Multipliers'!$C$4:$K$102,7,FALSE))</f>
        <v>Low</v>
      </c>
      <c r="AH42" s="94">
        <f>IF(AG42="","",VLOOKUP(AG42,'11. Lists'!$J$35:$K$38,2,FALSE))</f>
        <v>1</v>
      </c>
    </row>
    <row r="43" spans="2:34" s="25" customFormat="1" ht="15.75" x14ac:dyDescent="0.45">
      <c r="B43" s="264">
        <v>4</v>
      </c>
      <c r="C43" s="77"/>
      <c r="D43" s="73"/>
      <c r="E43" s="342" t="str">
        <f>IF(D43="","",VLOOKUP(D43,'10. Condition and Temporal'!$B$6:$D$103,3,FALSE))</f>
        <v/>
      </c>
      <c r="F43" s="708"/>
      <c r="G43" s="709"/>
      <c r="H43" s="71"/>
      <c r="I43" s="717"/>
      <c r="J43" s="718"/>
      <c r="K43" s="719"/>
      <c r="L43" s="710" t="str">
        <f t="shared" si="7"/>
        <v/>
      </c>
      <c r="M43" s="687"/>
      <c r="N43" s="711"/>
      <c r="O43" s="61"/>
      <c r="P43" s="12"/>
      <c r="Q43" s="106"/>
      <c r="R43" s="653"/>
      <c r="T43" s="662" t="str">
        <f>IF(C43="","",VLOOKUP(D43,'9. All Habitats + Multipliers'!$C$4:$K$102,5,FALSE))</f>
        <v/>
      </c>
      <c r="U43" s="663"/>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x14ac:dyDescent="0.45">
      <c r="B44" s="264">
        <v>5</v>
      </c>
      <c r="C44" s="77"/>
      <c r="D44" s="73"/>
      <c r="E44" s="342" t="str">
        <f>IF(D44="","",VLOOKUP(D44,'10. Condition and Temporal'!$B$6:$D$103,3,FALSE))</f>
        <v/>
      </c>
      <c r="F44" s="708"/>
      <c r="G44" s="709"/>
      <c r="H44" s="71"/>
      <c r="I44" s="717"/>
      <c r="J44" s="718"/>
      <c r="K44" s="719"/>
      <c r="L44" s="710" t="str">
        <f>IF(C44="","",IFERROR(IF(#REF!="","",((#REF!/10000)*(V44*X44))*(AH44*AF44)*AD44),"This intervention is not permitted within the SSM ▲"))</f>
        <v/>
      </c>
      <c r="M44" s="687"/>
      <c r="N44" s="711"/>
      <c r="O44" s="61"/>
      <c r="P44" s="12"/>
      <c r="R44" s="653"/>
      <c r="T44" s="662" t="str">
        <f>IF(C44="","",VLOOKUP(D44,'9. All Habitats + Multipliers'!$C$4:$K$102,5,FALSE))</f>
        <v/>
      </c>
      <c r="U44" s="663"/>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x14ac:dyDescent="0.45">
      <c r="B45" s="264">
        <v>6</v>
      </c>
      <c r="C45" s="77"/>
      <c r="D45" s="73"/>
      <c r="E45" s="342" t="str">
        <f>IF(D45="","",VLOOKUP(D45,'10. Condition and Temporal'!$B$6:$D$103,3,FALSE))</f>
        <v/>
      </c>
      <c r="F45" s="708"/>
      <c r="G45" s="709"/>
      <c r="H45" s="71"/>
      <c r="I45" s="566"/>
      <c r="J45" s="566"/>
      <c r="K45" s="566"/>
      <c r="L45" s="710" t="str">
        <f>IF(C45="","",IFERROR(IF(I44="","",((I44/10000)*(V45*X45))*(AH45*AF45)*AD45),"This intervention is not permitted within the SSM ▲"))</f>
        <v/>
      </c>
      <c r="M45" s="687"/>
      <c r="N45" s="711"/>
      <c r="O45" s="61"/>
      <c r="P45" s="12"/>
      <c r="R45" s="653"/>
      <c r="T45" s="662" t="str">
        <f>IF(C45="","",VLOOKUP(D45,'9. All Habitats + Multipliers'!$C$4:$K$102,5,FALSE))</f>
        <v/>
      </c>
      <c r="U45" s="663"/>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x14ac:dyDescent="0.45">
      <c r="B46" s="264">
        <v>7</v>
      </c>
      <c r="C46" s="77"/>
      <c r="D46" s="73"/>
      <c r="E46" s="342" t="str">
        <f>IF(D46="","",VLOOKUP(D46,'10. Condition and Temporal'!$B$6:$D$103,3,FALSE))</f>
        <v/>
      </c>
      <c r="F46" s="708"/>
      <c r="G46" s="709"/>
      <c r="H46" s="71"/>
      <c r="I46" s="717"/>
      <c r="J46" s="718"/>
      <c r="K46" s="719"/>
      <c r="L46" s="710" t="str">
        <f t="shared" si="7"/>
        <v/>
      </c>
      <c r="M46" s="687"/>
      <c r="N46" s="711"/>
      <c r="O46" s="61"/>
      <c r="P46" s="12"/>
      <c r="R46" s="653"/>
      <c r="T46" s="662" t="str">
        <f>IF(C46="","",VLOOKUP(D46,'9. All Habitats + Multipliers'!$C$4:$K$102,5,FALSE))</f>
        <v/>
      </c>
      <c r="U46" s="663"/>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x14ac:dyDescent="0.45">
      <c r="B47" s="264">
        <v>8</v>
      </c>
      <c r="C47" s="77"/>
      <c r="D47" s="73"/>
      <c r="E47" s="342" t="str">
        <f>IF(D47="","",VLOOKUP(D47,'10. Condition and Temporal'!$B$6:$D$103,3,FALSE))</f>
        <v/>
      </c>
      <c r="F47" s="708"/>
      <c r="G47" s="709"/>
      <c r="H47" s="71"/>
      <c r="I47" s="717"/>
      <c r="J47" s="718"/>
      <c r="K47" s="719"/>
      <c r="L47" s="710" t="str">
        <f t="shared" si="7"/>
        <v/>
      </c>
      <c r="M47" s="687"/>
      <c r="N47" s="711"/>
      <c r="O47" s="61"/>
      <c r="P47" s="12"/>
      <c r="R47" s="653"/>
      <c r="T47" s="662" t="str">
        <f>IF(C47="","",VLOOKUP(D47,'9. All Habitats + Multipliers'!$C$4:$K$102,5,FALSE))</f>
        <v/>
      </c>
      <c r="U47" s="663"/>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x14ac:dyDescent="0.45">
      <c r="B48" s="264">
        <v>9</v>
      </c>
      <c r="C48" s="77"/>
      <c r="D48" s="73"/>
      <c r="E48" s="342" t="str">
        <f>IF(D48="","",VLOOKUP(D48,'10. Condition and Temporal'!$B$6:$D$103,3,FALSE))</f>
        <v/>
      </c>
      <c r="F48" s="708"/>
      <c r="G48" s="709"/>
      <c r="H48" s="71"/>
      <c r="I48" s="717"/>
      <c r="J48" s="718"/>
      <c r="K48" s="719"/>
      <c r="L48" s="710" t="str">
        <f t="shared" si="7"/>
        <v/>
      </c>
      <c r="M48" s="687"/>
      <c r="N48" s="711"/>
      <c r="O48" s="61"/>
      <c r="P48" s="12"/>
      <c r="R48" s="653"/>
      <c r="T48" s="662" t="str">
        <f>IF(C48="","",VLOOKUP(D48,'9. All Habitats + Multipliers'!$C$4:$K$102,5,FALSE))</f>
        <v/>
      </c>
      <c r="U48" s="663"/>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x14ac:dyDescent="0.45">
      <c r="B49" s="264">
        <v>10</v>
      </c>
      <c r="C49" s="78"/>
      <c r="D49" s="73"/>
      <c r="E49" s="342" t="str">
        <f>IF(D49="","",VLOOKUP(D49,'10. Condition and Temporal'!$B$6:$D$103,3,FALSE))</f>
        <v/>
      </c>
      <c r="F49" s="708"/>
      <c r="G49" s="709"/>
      <c r="H49" s="71"/>
      <c r="I49" s="717"/>
      <c r="J49" s="718"/>
      <c r="K49" s="719"/>
      <c r="L49" s="710" t="str">
        <f t="shared" si="7"/>
        <v/>
      </c>
      <c r="M49" s="687"/>
      <c r="N49" s="711"/>
      <c r="O49" s="61"/>
      <c r="P49" s="12"/>
      <c r="R49" s="653"/>
      <c r="T49" s="662" t="str">
        <f>IF(C49="","",VLOOKUP(D49,'9. All Habitats + Multipliers'!$C$4:$K$102,5,FALSE))</f>
        <v/>
      </c>
      <c r="U49" s="663"/>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x14ac:dyDescent="0.45">
      <c r="B50" s="264">
        <v>11</v>
      </c>
      <c r="C50" s="78"/>
      <c r="D50" s="73"/>
      <c r="E50" s="342" t="str">
        <f>IF(D50="","",VLOOKUP(D50,'10. Condition and Temporal'!$B$6:$D$103,3,FALSE))</f>
        <v/>
      </c>
      <c r="F50" s="708"/>
      <c r="G50" s="709"/>
      <c r="H50" s="71"/>
      <c r="I50" s="717"/>
      <c r="J50" s="718"/>
      <c r="K50" s="719"/>
      <c r="L50" s="710" t="str">
        <f t="shared" si="7"/>
        <v/>
      </c>
      <c r="M50" s="687"/>
      <c r="N50" s="711"/>
      <c r="O50" s="61"/>
      <c r="P50" s="12"/>
      <c r="R50" s="653"/>
      <c r="T50" s="662" t="str">
        <f>IF(C50="","",VLOOKUP(D50,'9. All Habitats + Multipliers'!$C$4:$K$102,5,FALSE))</f>
        <v/>
      </c>
      <c r="U50" s="663"/>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x14ac:dyDescent="0.45">
      <c r="B51" s="264">
        <v>12</v>
      </c>
      <c r="C51" s="78"/>
      <c r="D51" s="73"/>
      <c r="E51" s="342" t="str">
        <f>IF(D51="","",VLOOKUP(D51,'10. Condition and Temporal'!$B$6:$D$103,3,FALSE))</f>
        <v/>
      </c>
      <c r="F51" s="708"/>
      <c r="G51" s="709"/>
      <c r="H51" s="71"/>
      <c r="I51" s="717"/>
      <c r="J51" s="718"/>
      <c r="K51" s="719"/>
      <c r="L51" s="710" t="str">
        <f t="shared" si="7"/>
        <v/>
      </c>
      <c r="M51" s="687"/>
      <c r="N51" s="711"/>
      <c r="O51" s="61"/>
      <c r="P51" s="12"/>
      <c r="R51" s="653"/>
      <c r="T51" s="662" t="str">
        <f>IF(C51="","",VLOOKUP(D51,'9. All Habitats + Multipliers'!$C$4:$K$102,5,FALSE))</f>
        <v/>
      </c>
      <c r="U51" s="663"/>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x14ac:dyDescent="0.45">
      <c r="B52" s="264">
        <v>13</v>
      </c>
      <c r="C52" s="78"/>
      <c r="D52" s="73"/>
      <c r="E52" s="342" t="str">
        <f>IF(D52="","",VLOOKUP(D52,'10. Condition and Temporal'!$B$6:$D$103,3,FALSE))</f>
        <v/>
      </c>
      <c r="F52" s="708"/>
      <c r="G52" s="709"/>
      <c r="H52" s="71"/>
      <c r="I52" s="717"/>
      <c r="J52" s="718"/>
      <c r="K52" s="719"/>
      <c r="L52" s="710" t="str">
        <f t="shared" si="7"/>
        <v/>
      </c>
      <c r="M52" s="687"/>
      <c r="N52" s="711"/>
      <c r="O52" s="61"/>
      <c r="P52" s="12"/>
      <c r="R52" s="653"/>
      <c r="T52" s="662" t="str">
        <f>IF(C52="","",VLOOKUP(D52,'9. All Habitats + Multipliers'!$C$4:$K$102,5,FALSE))</f>
        <v/>
      </c>
      <c r="U52" s="663"/>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x14ac:dyDescent="0.45">
      <c r="B53" s="264">
        <v>14</v>
      </c>
      <c r="C53" s="78"/>
      <c r="D53" s="73"/>
      <c r="E53" s="342" t="str">
        <f>IF(D53="","",VLOOKUP(D53,'10. Condition and Temporal'!$B$6:$D$103,3,FALSE))</f>
        <v/>
      </c>
      <c r="F53" s="708"/>
      <c r="G53" s="709"/>
      <c r="H53" s="71"/>
      <c r="I53" s="717"/>
      <c r="J53" s="718"/>
      <c r="K53" s="719"/>
      <c r="L53" s="710" t="str">
        <f t="shared" si="7"/>
        <v/>
      </c>
      <c r="M53" s="687"/>
      <c r="N53" s="711"/>
      <c r="O53" s="61"/>
      <c r="P53" s="12"/>
      <c r="R53" s="653"/>
      <c r="T53" s="662" t="str">
        <f>IF(C53="","",VLOOKUP(D53,'9. All Habitats + Multipliers'!$C$4:$K$102,5,FALSE))</f>
        <v/>
      </c>
      <c r="U53" s="663"/>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x14ac:dyDescent="0.45">
      <c r="B54" s="264">
        <v>15</v>
      </c>
      <c r="C54" s="78"/>
      <c r="D54" s="73"/>
      <c r="E54" s="342" t="str">
        <f>IF(D54="","",VLOOKUP(D54,'10. Condition and Temporal'!$B$6:$D$103,3,FALSE))</f>
        <v/>
      </c>
      <c r="F54" s="708"/>
      <c r="G54" s="709"/>
      <c r="H54" s="71"/>
      <c r="I54" s="717"/>
      <c r="J54" s="718"/>
      <c r="K54" s="719"/>
      <c r="L54" s="710" t="str">
        <f t="shared" si="7"/>
        <v/>
      </c>
      <c r="M54" s="687"/>
      <c r="N54" s="711"/>
      <c r="O54" s="61"/>
      <c r="P54" s="12"/>
      <c r="R54" s="653"/>
      <c r="T54" s="662" t="str">
        <f>IF(C54="","",VLOOKUP(D54,'9. All Habitats + Multipliers'!$C$4:$K$102,5,FALSE))</f>
        <v/>
      </c>
      <c r="U54" s="663"/>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x14ac:dyDescent="0.45">
      <c r="B55" s="264">
        <v>16</v>
      </c>
      <c r="C55" s="78"/>
      <c r="D55" s="73"/>
      <c r="E55" s="342" t="str">
        <f>IF(D55="","",VLOOKUP(D55,'10. Condition and Temporal'!$B$6:$D$103,3,FALSE))</f>
        <v/>
      </c>
      <c r="F55" s="708"/>
      <c r="G55" s="709"/>
      <c r="H55" s="71"/>
      <c r="I55" s="717"/>
      <c r="J55" s="718"/>
      <c r="K55" s="719"/>
      <c r="L55" s="710" t="str">
        <f t="shared" si="7"/>
        <v/>
      </c>
      <c r="M55" s="687"/>
      <c r="N55" s="711"/>
      <c r="O55" s="61"/>
      <c r="P55" s="12"/>
      <c r="R55" s="653"/>
      <c r="T55" s="662" t="str">
        <f>IF(C55="","",VLOOKUP(D55,'9. All Habitats + Multipliers'!$C$4:$K$102,5,FALSE))</f>
        <v/>
      </c>
      <c r="U55" s="663"/>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x14ac:dyDescent="0.45">
      <c r="B56" s="264">
        <v>17</v>
      </c>
      <c r="C56" s="78"/>
      <c r="D56" s="73"/>
      <c r="E56" s="342" t="str">
        <f>IF(D56="","",VLOOKUP(D56,'10. Condition and Temporal'!$B$6:$D$103,3,FALSE))</f>
        <v/>
      </c>
      <c r="F56" s="708"/>
      <c r="G56" s="709"/>
      <c r="H56" s="71"/>
      <c r="I56" s="717"/>
      <c r="J56" s="718"/>
      <c r="K56" s="719"/>
      <c r="L56" s="710" t="str">
        <f t="shared" si="7"/>
        <v/>
      </c>
      <c r="M56" s="687"/>
      <c r="N56" s="711"/>
      <c r="O56" s="61"/>
      <c r="P56" s="12"/>
      <c r="R56" s="653"/>
      <c r="T56" s="662" t="str">
        <f>IF(C56="","",VLOOKUP(D56,'9. All Habitats + Multipliers'!$C$4:$K$102,5,FALSE))</f>
        <v/>
      </c>
      <c r="U56" s="663"/>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x14ac:dyDescent="0.45">
      <c r="B57" s="264">
        <v>18</v>
      </c>
      <c r="C57" s="78"/>
      <c r="D57" s="73"/>
      <c r="E57" s="342" t="str">
        <f>IF(D57="","",VLOOKUP(D57,'10. Condition and Temporal'!$B$6:$D$103,3,FALSE))</f>
        <v/>
      </c>
      <c r="F57" s="708"/>
      <c r="G57" s="709"/>
      <c r="H57" s="71"/>
      <c r="I57" s="717"/>
      <c r="J57" s="718"/>
      <c r="K57" s="719"/>
      <c r="L57" s="710" t="str">
        <f t="shared" si="7"/>
        <v/>
      </c>
      <c r="M57" s="687"/>
      <c r="N57" s="711"/>
      <c r="O57" s="61"/>
      <c r="P57" s="12"/>
      <c r="R57" s="653"/>
      <c r="T57" s="662" t="str">
        <f>IF(C57="","",VLOOKUP(D57,'9. All Habitats + Multipliers'!$C$4:$K$102,5,FALSE))</f>
        <v/>
      </c>
      <c r="U57" s="663"/>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x14ac:dyDescent="0.45">
      <c r="B58" s="264">
        <v>19</v>
      </c>
      <c r="C58" s="78"/>
      <c r="D58" s="73"/>
      <c r="E58" s="342" t="str">
        <f>IF(D58="","",VLOOKUP(D58,'10. Condition and Temporal'!$B$6:$D$103,3,FALSE))</f>
        <v/>
      </c>
      <c r="F58" s="708"/>
      <c r="G58" s="709"/>
      <c r="H58" s="71"/>
      <c r="I58" s="717"/>
      <c r="J58" s="718"/>
      <c r="K58" s="719"/>
      <c r="L58" s="710" t="str">
        <f t="shared" si="7"/>
        <v/>
      </c>
      <c r="M58" s="687"/>
      <c r="N58" s="711"/>
      <c r="O58" s="61"/>
      <c r="P58" s="12"/>
      <c r="R58" s="653"/>
      <c r="T58" s="662" t="str">
        <f>IF(C58="","",VLOOKUP(D58,'9. All Habitats + Multipliers'!$C$4:$K$102,5,FALSE))</f>
        <v/>
      </c>
      <c r="U58" s="663"/>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149999999999999" thickBot="1" x14ac:dyDescent="0.5">
      <c r="B59" s="266">
        <v>20</v>
      </c>
      <c r="C59" s="78"/>
      <c r="D59" s="73"/>
      <c r="E59" s="342" t="str">
        <f>IF(D59="","",VLOOKUP(D59,'10. Condition and Temporal'!$B$6:$D$103,3,FALSE))</f>
        <v/>
      </c>
      <c r="F59" s="708"/>
      <c r="G59" s="709"/>
      <c r="H59" s="79"/>
      <c r="I59" s="717"/>
      <c r="J59" s="718"/>
      <c r="K59" s="719"/>
      <c r="L59" s="710" t="str">
        <f t="shared" si="7"/>
        <v/>
      </c>
      <c r="M59" s="687"/>
      <c r="N59" s="711"/>
      <c r="O59" s="22"/>
      <c r="P59" s="6"/>
      <c r="R59" s="653"/>
      <c r="T59" s="662" t="str">
        <f>IF(C59="","",VLOOKUP(D59,'9. All Habitats + Multipliers'!$C$4:$K$102,5,FALSE))</f>
        <v/>
      </c>
      <c r="U59" s="663"/>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8.9" thickBot="1" x14ac:dyDescent="0.5">
      <c r="B60" s="267" t="s">
        <v>92</v>
      </c>
      <c r="C60" s="97" t="s">
        <v>93</v>
      </c>
      <c r="D60" s="108" t="s">
        <v>94</v>
      </c>
      <c r="E60" s="109" t="s">
        <v>114</v>
      </c>
      <c r="F60" s="746" t="s">
        <v>114</v>
      </c>
      <c r="G60" s="747"/>
      <c r="H60" s="550" t="s">
        <v>115</v>
      </c>
      <c r="I60" s="750">
        <f>O99</f>
        <v>529.02719999999988</v>
      </c>
      <c r="J60" s="751"/>
      <c r="K60" s="752"/>
      <c r="L60" s="712">
        <f>IF(D60="","",((I60/10000)*(V60*X60))*(AH60*AF60)*AD60)</f>
        <v>0.16173553491158166</v>
      </c>
      <c r="M60" s="713"/>
      <c r="N60" s="695"/>
      <c r="O60" s="38"/>
      <c r="P60" s="39"/>
      <c r="R60" s="653"/>
      <c r="T60" s="664" t="str">
        <f>IF(C60="","",VLOOKUP(D60,'9. All Habitats + Multipliers'!$C$4:$K$102,5,FALSE))</f>
        <v>Medium</v>
      </c>
      <c r="U60" s="665"/>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4.65" thickBot="1" x14ac:dyDescent="0.5">
      <c r="H61" s="499" t="s">
        <v>96</v>
      </c>
      <c r="I61" s="817">
        <f>SUMIFS(I40:I59,D40:D59,"&lt;&gt;"&amp;'11. Lists'!Q10,D40:D59,"&lt;&gt;"&amp;'11. Lists'!Q11,D40:D59,"&lt;&gt;"&amp;'11. Lists'!I4,D40:D59,"&lt;&gt;"&amp;'11. Lists'!I2,D40:D59,"&lt;&gt;"&amp;'11. Lists'!I3)</f>
        <v>3421</v>
      </c>
      <c r="J61" s="818"/>
      <c r="K61" s="819"/>
      <c r="L61" s="699">
        <f>SUM(L40:N60)</f>
        <v>0.38173855905966159</v>
      </c>
      <c r="M61" s="820"/>
      <c r="N61" s="696"/>
      <c r="R61" s="653"/>
    </row>
    <row r="62" spans="2:53" s="25" customFormat="1" ht="14.65" thickBot="1" x14ac:dyDescent="0.5">
      <c r="H62" s="268" t="s">
        <v>116</v>
      </c>
      <c r="I62" s="714" t="str">
        <f>IF(M32=0,"Areas Acceptable ✓",IF(OR(I61-M32&lt;=-0.001,(I61-M32&gt;=0.001)),("Error - Area of habitat creation must match area lost ▲"),("Areas Acceptable ✓")))</f>
        <v>Areas Acceptable ✓</v>
      </c>
      <c r="J62" s="715"/>
      <c r="K62" s="715"/>
      <c r="L62" s="715"/>
      <c r="M62" s="715"/>
      <c r="N62" s="716"/>
      <c r="O62" s="157">
        <f>IFERROR(FIND("Error",I62),0)</f>
        <v>0</v>
      </c>
      <c r="R62" s="653"/>
    </row>
    <row r="63" spans="2:53" s="25" customFormat="1" x14ac:dyDescent="0.45">
      <c r="I63" s="436">
        <f>SUM($I$40:$K$60)</f>
        <v>3950.0272</v>
      </c>
      <c r="R63" s="653"/>
      <c r="BA63" s="50" t="s">
        <v>117</v>
      </c>
    </row>
    <row r="64" spans="2:53" s="25" customFormat="1" ht="21" x14ac:dyDescent="0.65">
      <c r="B64" s="57" t="s">
        <v>118</v>
      </c>
      <c r="D64" s="88"/>
      <c r="H64" s="26"/>
      <c r="R64" s="653"/>
      <c r="BA64" s="50" t="s">
        <v>119</v>
      </c>
    </row>
    <row r="65" spans="1:76" s="25" customFormat="1" ht="14.65" thickBot="1" x14ac:dyDescent="0.5">
      <c r="A65" s="89"/>
      <c r="R65" s="653" t="s">
        <v>55</v>
      </c>
    </row>
    <row r="66" spans="1:76" s="25" customFormat="1" ht="16.149999999999999" customHeight="1" thickBot="1" x14ac:dyDescent="0.5">
      <c r="A66" s="89"/>
      <c r="B66" s="685" t="s">
        <v>120</v>
      </c>
      <c r="C66" s="681" t="s">
        <v>121</v>
      </c>
      <c r="D66" s="683"/>
      <c r="E66" s="724" t="s">
        <v>122</v>
      </c>
      <c r="F66" s="725"/>
      <c r="G66" s="726"/>
      <c r="H66" s="667" t="s">
        <v>123</v>
      </c>
      <c r="I66" s="667" t="s">
        <v>124</v>
      </c>
      <c r="J66" s="813" t="s">
        <v>125</v>
      </c>
      <c r="K66" s="814"/>
      <c r="L66" s="681" t="s">
        <v>126</v>
      </c>
      <c r="M66" s="682" t="s">
        <v>127</v>
      </c>
      <c r="N66" s="683"/>
      <c r="O66" s="748" t="s">
        <v>68</v>
      </c>
      <c r="P66" s="749"/>
      <c r="R66" s="653"/>
      <c r="T66" s="660" t="s">
        <v>128</v>
      </c>
      <c r="U66" s="661"/>
      <c r="V66" s="661"/>
      <c r="W66" s="661"/>
      <c r="X66" s="661"/>
      <c r="Y66" s="661"/>
      <c r="Z66" s="661"/>
      <c r="AA66" s="661"/>
      <c r="AB66" s="661"/>
      <c r="AC66" s="661"/>
      <c r="AD66" s="666"/>
      <c r="AE66" s="667" t="s">
        <v>129</v>
      </c>
      <c r="AF66" s="660" t="s">
        <v>130</v>
      </c>
      <c r="AG66" s="661"/>
      <c r="AH66" s="661"/>
      <c r="AI66" s="661"/>
      <c r="AJ66" s="661"/>
      <c r="AK66" s="661"/>
      <c r="AL66" s="661"/>
      <c r="AM66" s="661"/>
      <c r="AN66" s="661"/>
      <c r="AO66" s="661"/>
      <c r="AP66" s="666"/>
      <c r="AQ66" s="669" t="s">
        <v>131</v>
      </c>
      <c r="AR66" s="660" t="s">
        <v>130</v>
      </c>
      <c r="AS66" s="661"/>
      <c r="AT66" s="661"/>
      <c r="AU66" s="661"/>
      <c r="AV66" s="661"/>
      <c r="AW66" s="661"/>
      <c r="AX66" s="661"/>
      <c r="AY66" s="460"/>
      <c r="BA66" s="154" t="s">
        <v>132</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75" customHeight="1" thickBot="1" x14ac:dyDescent="0.5">
      <c r="A67" s="89"/>
      <c r="B67" s="686"/>
      <c r="C67" s="211" t="s">
        <v>133</v>
      </c>
      <c r="D67" s="90" t="s">
        <v>134</v>
      </c>
      <c r="E67" s="86" t="s">
        <v>135</v>
      </c>
      <c r="F67" s="722" t="s">
        <v>136</v>
      </c>
      <c r="G67" s="723"/>
      <c r="H67" s="668"/>
      <c r="I67" s="668"/>
      <c r="J67" s="815"/>
      <c r="K67" s="816"/>
      <c r="L67" s="839"/>
      <c r="M67" s="840"/>
      <c r="N67" s="841"/>
      <c r="O67" s="196" t="s">
        <v>83</v>
      </c>
      <c r="P67" s="90" t="s">
        <v>84</v>
      </c>
      <c r="R67" s="653"/>
      <c r="T67" s="332" t="s">
        <v>137</v>
      </c>
      <c r="U67" s="351" t="s">
        <v>138</v>
      </c>
      <c r="V67" s="350" t="s">
        <v>139</v>
      </c>
      <c r="W67" s="505" t="s">
        <v>140</v>
      </c>
      <c r="X67" s="506" t="s">
        <v>141</v>
      </c>
      <c r="Y67" s="355"/>
      <c r="Z67" s="355"/>
      <c r="AA67" s="355"/>
      <c r="AB67" s="506" t="s">
        <v>142</v>
      </c>
      <c r="AC67" s="506" t="s">
        <v>143</v>
      </c>
      <c r="AD67" s="350" t="s">
        <v>144</v>
      </c>
      <c r="AE67" s="668"/>
      <c r="AF67" s="333" t="s">
        <v>137</v>
      </c>
      <c r="AG67" s="351" t="s">
        <v>85</v>
      </c>
      <c r="AH67" s="350" t="s">
        <v>86</v>
      </c>
      <c r="AI67" s="505" t="s">
        <v>87</v>
      </c>
      <c r="AJ67" s="359" t="s">
        <v>86</v>
      </c>
      <c r="AK67" s="346"/>
      <c r="AL67" s="346"/>
      <c r="AM67" s="346"/>
      <c r="AN67" s="360" t="s">
        <v>71</v>
      </c>
      <c r="AO67" s="506" t="s">
        <v>71</v>
      </c>
      <c r="AP67" s="516" t="s">
        <v>88</v>
      </c>
      <c r="AQ67" s="670"/>
      <c r="AR67" s="350" t="s">
        <v>145</v>
      </c>
      <c r="AS67" s="351" t="s">
        <v>146</v>
      </c>
      <c r="AT67" s="350" t="s">
        <v>147</v>
      </c>
      <c r="AU67" s="352" t="s">
        <v>148</v>
      </c>
      <c r="AV67" s="350" t="s">
        <v>149</v>
      </c>
      <c r="AW67" s="331" t="s">
        <v>150</v>
      </c>
      <c r="AX67" s="458" t="s">
        <v>151</v>
      </c>
      <c r="AY67" s="461" t="s">
        <v>152</v>
      </c>
      <c r="BA67" s="83" t="s">
        <v>153</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154</v>
      </c>
      <c r="BW67" s="169" t="s">
        <v>155</v>
      </c>
      <c r="BX67" s="169" t="s">
        <v>156</v>
      </c>
    </row>
    <row r="68" spans="1:76" s="25" customFormat="1" ht="15.75" x14ac:dyDescent="0.45">
      <c r="A68" s="89"/>
      <c r="B68" s="263">
        <v>1</v>
      </c>
      <c r="C68" s="207" t="str">
        <f t="shared" ref="C68:C87" si="11">IF(D68="","",C11)</f>
        <v/>
      </c>
      <c r="D68" s="208" t="str">
        <f>IF(OR(K11=0, K11=""),"",D11)</f>
        <v/>
      </c>
      <c r="E68" s="209" t="str">
        <f t="shared" ref="E68:E88" si="12">IF(AX68="","",AX68)</f>
        <v/>
      </c>
      <c r="F68" s="720"/>
      <c r="G68" s="721"/>
      <c r="H68" s="163" t="str">
        <f t="shared" ref="H68:H87" si="13">IF(D68="","",AB68)</f>
        <v/>
      </c>
      <c r="I68" s="321" t="str">
        <f>IF(OR(K11="", K11=0),"",K11)</f>
        <v/>
      </c>
      <c r="J68" s="677" t="str">
        <f>IFERROR(IF(F68="","",VLOOKUP(F68,'10. Condition and Temporal'!$B$6:$F$103,5,FALSE)), "Error ▲")</f>
        <v/>
      </c>
      <c r="K68" s="678"/>
      <c r="L68" s="283" t="str">
        <f>IFERROR(IF(D68="","",IF(AX68="Distinctiveness",(((((I68*AH68*AJ68)-(I68*V68*X68))*(AV68*AT68))+(I68*V68*X68))*(AP68))/10000,((((I68*AJ68*AH68)-(I68*V68*X68))*(AV68*AR68))+(I68*V68*X68))*AP68/10000)),"Error ▲")</f>
        <v/>
      </c>
      <c r="M68" s="687" t="str">
        <f>IFERROR(IF(F68="","",L68-AD68), "Error ▲")</f>
        <v/>
      </c>
      <c r="N68" s="688"/>
      <c r="O68" s="210"/>
      <c r="P68" s="1"/>
      <c r="R68" s="653"/>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157</v>
      </c>
      <c r="BX68" s="95">
        <f>BB66</f>
        <v>0</v>
      </c>
    </row>
    <row r="69" spans="1:76" s="25" customFormat="1" ht="15.75" x14ac:dyDescent="0.45">
      <c r="A69" s="89"/>
      <c r="B69" s="264">
        <v>2</v>
      </c>
      <c r="C69" s="119" t="str">
        <f t="shared" si="11"/>
        <v/>
      </c>
      <c r="D69" s="208" t="str">
        <f t="shared" ref="D69:D87" si="42">IF(OR(K12=0, K12=""),"",D12)</f>
        <v/>
      </c>
      <c r="E69" s="166" t="str">
        <f t="shared" si="12"/>
        <v/>
      </c>
      <c r="F69" s="671"/>
      <c r="G69" s="672"/>
      <c r="H69" s="163" t="str">
        <f t="shared" si="13"/>
        <v/>
      </c>
      <c r="I69" s="321" t="str">
        <f t="shared" ref="I69:I87" si="43">IF(OR(K12="", K12=0),"",K12)</f>
        <v/>
      </c>
      <c r="J69" s="677" t="str">
        <f>IFERROR(IF(F69="","",VLOOKUP(F69,'10. Condition and Temporal'!$B$6:$F$103,5,FALSE)), "Error ▲")</f>
        <v/>
      </c>
      <c r="K69" s="678"/>
      <c r="L69" s="283" t="str">
        <f t="shared" ref="L69:L87" si="44">IFERROR(IF(D69="","",IF(AX69="Distinctiveness",(((((I69*AH69*AJ69)-(I69*V69*X69))*(AV69*AT69))+(I69*V69*X69))*(AP69))/10000,((((I69*AJ69*AH69)-(I69*V69*X69))*(AV69*AR69))+(I69*V69*X69))*AP69/10000)),"Error ▲")</f>
        <v/>
      </c>
      <c r="M69" s="687" t="str">
        <f t="shared" ref="M69:M87" si="45">IFERROR(IF(F69="","",L69-AD69), "Error ▲")</f>
        <v/>
      </c>
      <c r="N69" s="688"/>
      <c r="O69" s="74"/>
      <c r="P69" s="12"/>
      <c r="R69" s="653"/>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158</v>
      </c>
      <c r="BX69" s="95">
        <f>BC66</f>
        <v>0</v>
      </c>
    </row>
    <row r="70" spans="1:76" s="25" customFormat="1" ht="15.75" x14ac:dyDescent="0.45">
      <c r="A70" s="89"/>
      <c r="B70" s="264">
        <v>3</v>
      </c>
      <c r="C70" s="119" t="str">
        <f t="shared" si="11"/>
        <v/>
      </c>
      <c r="D70" s="208" t="str">
        <f t="shared" si="42"/>
        <v/>
      </c>
      <c r="E70" s="166" t="str">
        <f t="shared" si="12"/>
        <v/>
      </c>
      <c r="F70" s="671"/>
      <c r="G70" s="672"/>
      <c r="H70" s="163" t="str">
        <f t="shared" si="13"/>
        <v/>
      </c>
      <c r="I70" s="321" t="str">
        <f t="shared" si="43"/>
        <v/>
      </c>
      <c r="J70" s="677" t="str">
        <f>IFERROR(IF(F70="","",VLOOKUP(F70,'10. Condition and Temporal'!$B$6:$F$103,5,FALSE)), "Error ▲")</f>
        <v/>
      </c>
      <c r="K70" s="678"/>
      <c r="L70" s="283" t="str">
        <f t="shared" si="44"/>
        <v/>
      </c>
      <c r="M70" s="687" t="str">
        <f t="shared" si="45"/>
        <v/>
      </c>
      <c r="N70" s="688"/>
      <c r="O70" s="74"/>
      <c r="P70" s="12"/>
      <c r="R70" s="653"/>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159</v>
      </c>
      <c r="BX70" s="95">
        <f>BD66</f>
        <v>0</v>
      </c>
    </row>
    <row r="71" spans="1:76" s="25" customFormat="1" ht="15.75" x14ac:dyDescent="0.45">
      <c r="A71" s="89"/>
      <c r="B71" s="264">
        <v>4</v>
      </c>
      <c r="C71" s="119" t="str">
        <f t="shared" si="11"/>
        <v/>
      </c>
      <c r="D71" s="208" t="str">
        <f t="shared" si="42"/>
        <v/>
      </c>
      <c r="E71" s="166" t="str">
        <f t="shared" si="12"/>
        <v/>
      </c>
      <c r="F71" s="671"/>
      <c r="G71" s="672"/>
      <c r="H71" s="163" t="str">
        <f t="shared" si="13"/>
        <v/>
      </c>
      <c r="I71" s="321" t="str">
        <f t="shared" si="43"/>
        <v/>
      </c>
      <c r="J71" s="677" t="str">
        <f>IFERROR(IF(F71="","",VLOOKUP(F71,'10. Condition and Temporal'!$B$6:$F$103,5,FALSE)), "Error ▲")</f>
        <v/>
      </c>
      <c r="K71" s="678"/>
      <c r="L71" s="283" t="str">
        <f t="shared" si="44"/>
        <v/>
      </c>
      <c r="M71" s="687" t="str">
        <f t="shared" si="45"/>
        <v/>
      </c>
      <c r="N71" s="688"/>
      <c r="O71" s="74"/>
      <c r="P71" s="12"/>
      <c r="R71" s="653"/>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160</v>
      </c>
      <c r="BX71" s="95">
        <f>BE66</f>
        <v>0</v>
      </c>
    </row>
    <row r="72" spans="1:76" s="25" customFormat="1" ht="15.75" x14ac:dyDescent="0.45">
      <c r="A72" s="89"/>
      <c r="B72" s="264">
        <v>5</v>
      </c>
      <c r="C72" s="119" t="str">
        <f t="shared" si="11"/>
        <v/>
      </c>
      <c r="D72" s="208" t="str">
        <f t="shared" si="42"/>
        <v/>
      </c>
      <c r="E72" s="166" t="str">
        <f t="shared" si="12"/>
        <v/>
      </c>
      <c r="F72" s="671"/>
      <c r="G72" s="672"/>
      <c r="H72" s="163" t="str">
        <f t="shared" si="13"/>
        <v/>
      </c>
      <c r="I72" s="321" t="str">
        <f t="shared" si="43"/>
        <v/>
      </c>
      <c r="J72" s="677" t="str">
        <f>IFERROR(IF(F72="","",VLOOKUP(F72,'10. Condition and Temporal'!$B$6:$F$103,5,FALSE)), "Error ▲")</f>
        <v/>
      </c>
      <c r="K72" s="678"/>
      <c r="L72" s="283" t="str">
        <f t="shared" si="44"/>
        <v/>
      </c>
      <c r="M72" s="687" t="str">
        <f t="shared" si="45"/>
        <v/>
      </c>
      <c r="N72" s="688"/>
      <c r="O72" s="74"/>
      <c r="P72" s="12"/>
      <c r="R72" s="653"/>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161</v>
      </c>
      <c r="BX72" s="95">
        <f>BF66</f>
        <v>0</v>
      </c>
    </row>
    <row r="73" spans="1:76" s="25" customFormat="1" ht="15.75" x14ac:dyDescent="0.45">
      <c r="A73" s="89"/>
      <c r="B73" s="264">
        <v>6</v>
      </c>
      <c r="C73" s="119" t="str">
        <f t="shared" si="11"/>
        <v/>
      </c>
      <c r="D73" s="208" t="str">
        <f t="shared" si="42"/>
        <v/>
      </c>
      <c r="E73" s="166" t="str">
        <f t="shared" si="12"/>
        <v/>
      </c>
      <c r="F73" s="671"/>
      <c r="G73" s="672"/>
      <c r="H73" s="163" t="str">
        <f t="shared" si="13"/>
        <v/>
      </c>
      <c r="I73" s="321" t="str">
        <f t="shared" si="43"/>
        <v/>
      </c>
      <c r="J73" s="677" t="str">
        <f>IFERROR(IF(F73="","",VLOOKUP(F73,'10. Condition and Temporal'!$B$6:$F$103,5,FALSE)), "Error ▲")</f>
        <v/>
      </c>
      <c r="K73" s="678"/>
      <c r="L73" s="283" t="str">
        <f t="shared" si="44"/>
        <v/>
      </c>
      <c r="M73" s="687" t="str">
        <f t="shared" si="45"/>
        <v/>
      </c>
      <c r="N73" s="688"/>
      <c r="O73" s="74"/>
      <c r="P73" s="12"/>
      <c r="R73" s="653"/>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162</v>
      </c>
      <c r="BX73" s="95">
        <f>BG66</f>
        <v>0</v>
      </c>
    </row>
    <row r="74" spans="1:76" s="25" customFormat="1" ht="15.75" x14ac:dyDescent="0.45">
      <c r="A74" s="89"/>
      <c r="B74" s="264">
        <v>7</v>
      </c>
      <c r="C74" s="119" t="str">
        <f t="shared" si="11"/>
        <v/>
      </c>
      <c r="D74" s="208" t="str">
        <f t="shared" si="42"/>
        <v/>
      </c>
      <c r="E74" s="166" t="str">
        <f t="shared" si="12"/>
        <v/>
      </c>
      <c r="F74" s="671"/>
      <c r="G74" s="672"/>
      <c r="H74" s="163" t="str">
        <f t="shared" si="13"/>
        <v/>
      </c>
      <c r="I74" s="321" t="str">
        <f t="shared" si="43"/>
        <v/>
      </c>
      <c r="J74" s="677" t="str">
        <f>IFERROR(IF(F74="","",VLOOKUP(F74,'10. Condition and Temporal'!$B$6:$F$103,5,FALSE)), "Error ▲")</f>
        <v/>
      </c>
      <c r="K74" s="678"/>
      <c r="L74" s="283" t="str">
        <f t="shared" si="44"/>
        <v/>
      </c>
      <c r="M74" s="687" t="str">
        <f t="shared" si="45"/>
        <v/>
      </c>
      <c r="N74" s="688"/>
      <c r="O74" s="74"/>
      <c r="P74" s="12"/>
      <c r="R74" s="653"/>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163</v>
      </c>
      <c r="BX74" s="95">
        <f>BH66</f>
        <v>0</v>
      </c>
    </row>
    <row r="75" spans="1:76" s="25" customFormat="1" ht="15.75" x14ac:dyDescent="0.45">
      <c r="A75" s="89"/>
      <c r="B75" s="264">
        <v>8</v>
      </c>
      <c r="C75" s="119" t="str">
        <f t="shared" si="11"/>
        <v/>
      </c>
      <c r="D75" s="208" t="str">
        <f t="shared" si="42"/>
        <v/>
      </c>
      <c r="E75" s="166" t="str">
        <f t="shared" si="12"/>
        <v/>
      </c>
      <c r="F75" s="671"/>
      <c r="G75" s="672"/>
      <c r="H75" s="163" t="str">
        <f t="shared" si="13"/>
        <v/>
      </c>
      <c r="I75" s="321" t="str">
        <f t="shared" si="43"/>
        <v/>
      </c>
      <c r="J75" s="677" t="str">
        <f>IFERROR(IF(F75="","",VLOOKUP(F75,'10. Condition and Temporal'!$B$6:$F$103,5,FALSE)), "Error ▲")</f>
        <v/>
      </c>
      <c r="K75" s="678"/>
      <c r="L75" s="283" t="str">
        <f t="shared" si="44"/>
        <v/>
      </c>
      <c r="M75" s="687" t="str">
        <f t="shared" si="45"/>
        <v/>
      </c>
      <c r="N75" s="688"/>
      <c r="O75" s="74"/>
      <c r="P75" s="12"/>
      <c r="R75" s="653"/>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164</v>
      </c>
      <c r="BX75" s="95">
        <f>BI66</f>
        <v>0</v>
      </c>
    </row>
    <row r="76" spans="1:76" s="25" customFormat="1" ht="15.75" x14ac:dyDescent="0.45">
      <c r="A76" s="89"/>
      <c r="B76" s="264">
        <v>9</v>
      </c>
      <c r="C76" s="119" t="str">
        <f t="shared" si="11"/>
        <v/>
      </c>
      <c r="D76" s="208" t="str">
        <f t="shared" si="42"/>
        <v/>
      </c>
      <c r="E76" s="166" t="str">
        <f t="shared" si="12"/>
        <v/>
      </c>
      <c r="F76" s="671"/>
      <c r="G76" s="672"/>
      <c r="H76" s="163" t="str">
        <f t="shared" si="13"/>
        <v/>
      </c>
      <c r="I76" s="321" t="str">
        <f t="shared" si="43"/>
        <v/>
      </c>
      <c r="J76" s="677" t="str">
        <f>IFERROR(IF(F76="","",VLOOKUP(F76,'10. Condition and Temporal'!$B$6:$F$103,5,FALSE)), "Error ▲")</f>
        <v/>
      </c>
      <c r="K76" s="678"/>
      <c r="L76" s="283" t="str">
        <f t="shared" si="44"/>
        <v/>
      </c>
      <c r="M76" s="687" t="str">
        <f t="shared" si="45"/>
        <v/>
      </c>
      <c r="N76" s="688"/>
      <c r="O76" s="74"/>
      <c r="P76" s="12"/>
      <c r="R76" s="653"/>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165</v>
      </c>
      <c r="BX76" s="95">
        <f>BJ66</f>
        <v>0</v>
      </c>
    </row>
    <row r="77" spans="1:76" s="25" customFormat="1" ht="15.75" x14ac:dyDescent="0.45">
      <c r="A77" s="89"/>
      <c r="B77" s="264">
        <v>10</v>
      </c>
      <c r="C77" s="119" t="str">
        <f t="shared" si="11"/>
        <v/>
      </c>
      <c r="D77" s="208" t="str">
        <f t="shared" si="42"/>
        <v/>
      </c>
      <c r="E77" s="166" t="str">
        <f t="shared" si="12"/>
        <v/>
      </c>
      <c r="F77" s="671"/>
      <c r="G77" s="672"/>
      <c r="H77" s="163" t="str">
        <f t="shared" si="13"/>
        <v/>
      </c>
      <c r="I77" s="321" t="str">
        <f t="shared" si="43"/>
        <v/>
      </c>
      <c r="J77" s="677" t="str">
        <f>IFERROR(IF(F77="","",VLOOKUP(F77,'10. Condition and Temporal'!$B$6:$F$103,5,FALSE)), "Error ▲")</f>
        <v/>
      </c>
      <c r="K77" s="678"/>
      <c r="L77" s="283" t="str">
        <f t="shared" si="44"/>
        <v/>
      </c>
      <c r="M77" s="687" t="str">
        <f t="shared" si="45"/>
        <v/>
      </c>
      <c r="N77" s="688"/>
      <c r="O77" s="74"/>
      <c r="P77" s="12"/>
      <c r="R77" s="653"/>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166</v>
      </c>
      <c r="BX77" s="95">
        <f>BK66</f>
        <v>0</v>
      </c>
    </row>
    <row r="78" spans="1:76" s="25" customFormat="1" ht="15.75" x14ac:dyDescent="0.45">
      <c r="A78" s="89"/>
      <c r="B78" s="264">
        <v>11</v>
      </c>
      <c r="C78" s="119" t="str">
        <f t="shared" si="11"/>
        <v/>
      </c>
      <c r="D78" s="208" t="str">
        <f t="shared" si="42"/>
        <v/>
      </c>
      <c r="E78" s="166" t="str">
        <f t="shared" si="12"/>
        <v/>
      </c>
      <c r="F78" s="671"/>
      <c r="G78" s="672"/>
      <c r="H78" s="163" t="str">
        <f t="shared" si="13"/>
        <v/>
      </c>
      <c r="I78" s="321" t="str">
        <f t="shared" si="43"/>
        <v/>
      </c>
      <c r="J78" s="677" t="str">
        <f>IFERROR(IF(F78="","",VLOOKUP(F78,'10. Condition and Temporal'!$B$6:$F$103,5,FALSE)), "Error ▲")</f>
        <v/>
      </c>
      <c r="K78" s="678"/>
      <c r="L78" s="283" t="str">
        <f t="shared" si="44"/>
        <v/>
      </c>
      <c r="M78" s="687" t="str">
        <f t="shared" si="45"/>
        <v/>
      </c>
      <c r="N78" s="688"/>
      <c r="O78" s="74"/>
      <c r="P78" s="12"/>
      <c r="R78" s="653"/>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167</v>
      </c>
      <c r="BX78" s="95">
        <f>BL66</f>
        <v>0</v>
      </c>
    </row>
    <row r="79" spans="1:76" s="25" customFormat="1" ht="15.75" x14ac:dyDescent="0.45">
      <c r="A79" s="89"/>
      <c r="B79" s="264">
        <v>12</v>
      </c>
      <c r="C79" s="119" t="str">
        <f t="shared" si="11"/>
        <v/>
      </c>
      <c r="D79" s="208" t="str">
        <f t="shared" si="42"/>
        <v/>
      </c>
      <c r="E79" s="166" t="str">
        <f t="shared" si="12"/>
        <v/>
      </c>
      <c r="F79" s="671"/>
      <c r="G79" s="672"/>
      <c r="H79" s="163" t="str">
        <f t="shared" si="13"/>
        <v/>
      </c>
      <c r="I79" s="321" t="str">
        <f t="shared" si="43"/>
        <v/>
      </c>
      <c r="J79" s="677" t="str">
        <f>IFERROR(IF(F79="","",VLOOKUP(F79,'10. Condition and Temporal'!$B$6:$F$103,5,FALSE)), "Error ▲")</f>
        <v/>
      </c>
      <c r="K79" s="678"/>
      <c r="L79" s="283" t="str">
        <f t="shared" si="44"/>
        <v/>
      </c>
      <c r="M79" s="687" t="str">
        <f t="shared" si="45"/>
        <v/>
      </c>
      <c r="N79" s="688"/>
      <c r="O79" s="74"/>
      <c r="P79" s="12"/>
      <c r="R79" s="653"/>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168</v>
      </c>
      <c r="BX79" s="95">
        <f>BM66</f>
        <v>0</v>
      </c>
    </row>
    <row r="80" spans="1:76" s="25" customFormat="1" ht="15.75" x14ac:dyDescent="0.45">
      <c r="A80" s="89"/>
      <c r="B80" s="264">
        <v>13</v>
      </c>
      <c r="C80" s="119" t="str">
        <f t="shared" si="11"/>
        <v/>
      </c>
      <c r="D80" s="208" t="str">
        <f t="shared" si="42"/>
        <v/>
      </c>
      <c r="E80" s="166" t="str">
        <f t="shared" si="12"/>
        <v/>
      </c>
      <c r="F80" s="671"/>
      <c r="G80" s="672"/>
      <c r="H80" s="163" t="str">
        <f t="shared" si="13"/>
        <v/>
      </c>
      <c r="I80" s="321" t="str">
        <f t="shared" si="43"/>
        <v/>
      </c>
      <c r="J80" s="677" t="str">
        <f>IFERROR(IF(F80="","",VLOOKUP(F80,'10. Condition and Temporal'!$B$6:$F$103,5,FALSE)), "Error ▲")</f>
        <v/>
      </c>
      <c r="K80" s="678"/>
      <c r="L80" s="283" t="str">
        <f t="shared" si="44"/>
        <v/>
      </c>
      <c r="M80" s="687" t="str">
        <f t="shared" si="45"/>
        <v/>
      </c>
      <c r="N80" s="688"/>
      <c r="O80" s="74"/>
      <c r="P80" s="12"/>
      <c r="R80" s="653"/>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169</v>
      </c>
      <c r="BX80" s="95">
        <f>BN66</f>
        <v>0</v>
      </c>
    </row>
    <row r="81" spans="1:76" s="25" customFormat="1" ht="15.75" x14ac:dyDescent="0.45">
      <c r="A81" s="89"/>
      <c r="B81" s="264">
        <v>14</v>
      </c>
      <c r="C81" s="119" t="str">
        <f t="shared" si="11"/>
        <v/>
      </c>
      <c r="D81" s="208" t="str">
        <f t="shared" si="42"/>
        <v/>
      </c>
      <c r="E81" s="166" t="str">
        <f t="shared" si="12"/>
        <v/>
      </c>
      <c r="F81" s="671"/>
      <c r="G81" s="672"/>
      <c r="H81" s="163" t="str">
        <f t="shared" si="13"/>
        <v/>
      </c>
      <c r="I81" s="321" t="str">
        <f t="shared" si="43"/>
        <v/>
      </c>
      <c r="J81" s="677" t="str">
        <f>IFERROR(IF(F81="","",VLOOKUP(F81,'10. Condition and Temporal'!$B$6:$F$103,5,FALSE)), "Error ▲")</f>
        <v/>
      </c>
      <c r="K81" s="678"/>
      <c r="L81" s="283" t="str">
        <f t="shared" si="44"/>
        <v/>
      </c>
      <c r="M81" s="687" t="str">
        <f t="shared" si="45"/>
        <v/>
      </c>
      <c r="N81" s="688"/>
      <c r="O81" s="74"/>
      <c r="P81" s="12"/>
      <c r="R81" s="653"/>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170</v>
      </c>
      <c r="BX81" s="95">
        <f>BO66</f>
        <v>0</v>
      </c>
    </row>
    <row r="82" spans="1:76" s="25" customFormat="1" ht="15.75" x14ac:dyDescent="0.45">
      <c r="A82" s="89"/>
      <c r="B82" s="264">
        <v>15</v>
      </c>
      <c r="C82" s="119" t="str">
        <f t="shared" si="11"/>
        <v/>
      </c>
      <c r="D82" s="208" t="str">
        <f t="shared" si="42"/>
        <v/>
      </c>
      <c r="E82" s="166" t="str">
        <f t="shared" si="12"/>
        <v/>
      </c>
      <c r="F82" s="671"/>
      <c r="G82" s="672"/>
      <c r="H82" s="163" t="str">
        <f t="shared" si="13"/>
        <v/>
      </c>
      <c r="I82" s="321" t="str">
        <f t="shared" si="43"/>
        <v/>
      </c>
      <c r="J82" s="677" t="str">
        <f>IFERROR(IF(F82="","",VLOOKUP(F82,'10. Condition and Temporal'!$B$6:$F$103,5,FALSE)), "Error ▲")</f>
        <v/>
      </c>
      <c r="K82" s="678"/>
      <c r="L82" s="283" t="str">
        <f t="shared" si="44"/>
        <v/>
      </c>
      <c r="M82" s="687" t="str">
        <f t="shared" si="45"/>
        <v/>
      </c>
      <c r="N82" s="688"/>
      <c r="O82" s="74"/>
      <c r="P82" s="12"/>
      <c r="R82" s="653"/>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171</v>
      </c>
      <c r="BX82" s="95">
        <f>BP66</f>
        <v>0</v>
      </c>
    </row>
    <row r="83" spans="1:76" s="25" customFormat="1" ht="15.75" x14ac:dyDescent="0.45">
      <c r="A83" s="89"/>
      <c r="B83" s="264">
        <v>16</v>
      </c>
      <c r="C83" s="119" t="str">
        <f t="shared" si="11"/>
        <v/>
      </c>
      <c r="D83" s="208" t="str">
        <f t="shared" si="42"/>
        <v/>
      </c>
      <c r="E83" s="166" t="str">
        <f t="shared" si="12"/>
        <v/>
      </c>
      <c r="F83" s="671"/>
      <c r="G83" s="672"/>
      <c r="H83" s="163" t="str">
        <f t="shared" si="13"/>
        <v/>
      </c>
      <c r="I83" s="321" t="str">
        <f t="shared" si="43"/>
        <v/>
      </c>
      <c r="J83" s="677" t="str">
        <f>IFERROR(IF(F83="","",VLOOKUP(F83,'10. Condition and Temporal'!$B$6:$F$103,5,FALSE)), "Error ▲")</f>
        <v/>
      </c>
      <c r="K83" s="678"/>
      <c r="L83" s="283" t="str">
        <f t="shared" si="44"/>
        <v/>
      </c>
      <c r="M83" s="687" t="str">
        <f t="shared" si="45"/>
        <v/>
      </c>
      <c r="N83" s="688"/>
      <c r="O83" s="74"/>
      <c r="P83" s="12"/>
      <c r="R83" s="653"/>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172</v>
      </c>
      <c r="BX83" s="95">
        <f>BQ66</f>
        <v>0</v>
      </c>
    </row>
    <row r="84" spans="1:76" s="25" customFormat="1" ht="15.75" x14ac:dyDescent="0.45">
      <c r="A84" s="89"/>
      <c r="B84" s="264">
        <v>17</v>
      </c>
      <c r="C84" s="119" t="str">
        <f t="shared" si="11"/>
        <v/>
      </c>
      <c r="D84" s="208" t="str">
        <f t="shared" si="42"/>
        <v/>
      </c>
      <c r="E84" s="166" t="str">
        <f t="shared" si="12"/>
        <v/>
      </c>
      <c r="F84" s="671"/>
      <c r="G84" s="672"/>
      <c r="H84" s="163" t="str">
        <f t="shared" si="13"/>
        <v/>
      </c>
      <c r="I84" s="321" t="str">
        <f t="shared" si="43"/>
        <v/>
      </c>
      <c r="J84" s="677" t="str">
        <f>IFERROR(IF(F84="","",VLOOKUP(F84,'10. Condition and Temporal'!$B$6:$F$103,5,FALSE)), "Error ▲")</f>
        <v/>
      </c>
      <c r="K84" s="678"/>
      <c r="L84" s="283" t="str">
        <f t="shared" si="44"/>
        <v/>
      </c>
      <c r="M84" s="687" t="str">
        <f t="shared" si="45"/>
        <v/>
      </c>
      <c r="N84" s="688"/>
      <c r="O84" s="74"/>
      <c r="P84" s="12"/>
      <c r="R84" s="653"/>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173</v>
      </c>
      <c r="BX84" s="95">
        <f>BR66</f>
        <v>0</v>
      </c>
    </row>
    <row r="85" spans="1:76" s="25" customFormat="1" ht="15.75" x14ac:dyDescent="0.45">
      <c r="A85" s="89"/>
      <c r="B85" s="264">
        <v>18</v>
      </c>
      <c r="C85" s="119" t="str">
        <f t="shared" si="11"/>
        <v/>
      </c>
      <c r="D85" s="208" t="str">
        <f t="shared" si="42"/>
        <v/>
      </c>
      <c r="E85" s="166" t="str">
        <f t="shared" si="12"/>
        <v/>
      </c>
      <c r="F85" s="671"/>
      <c r="G85" s="672"/>
      <c r="H85" s="163" t="str">
        <f t="shared" si="13"/>
        <v/>
      </c>
      <c r="I85" s="321" t="str">
        <f t="shared" si="43"/>
        <v/>
      </c>
      <c r="J85" s="677" t="str">
        <f>IFERROR(IF(F85="","",VLOOKUP(F85,'10. Condition and Temporal'!$B$6:$F$103,5,FALSE)), "Error ▲")</f>
        <v/>
      </c>
      <c r="K85" s="678"/>
      <c r="L85" s="283" t="str">
        <f t="shared" si="44"/>
        <v/>
      </c>
      <c r="M85" s="687" t="str">
        <f t="shared" si="45"/>
        <v/>
      </c>
      <c r="N85" s="688"/>
      <c r="O85" s="74"/>
      <c r="P85" s="12"/>
      <c r="R85" s="653"/>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174</v>
      </c>
      <c r="BX85" s="95">
        <f>BS66</f>
        <v>0</v>
      </c>
    </row>
    <row r="86" spans="1:76" s="25" customFormat="1" ht="15.75" x14ac:dyDescent="0.45">
      <c r="A86" s="89"/>
      <c r="B86" s="264">
        <v>19</v>
      </c>
      <c r="C86" s="119" t="str">
        <f t="shared" si="11"/>
        <v/>
      </c>
      <c r="D86" s="208" t="str">
        <f t="shared" si="42"/>
        <v/>
      </c>
      <c r="E86" s="166" t="str">
        <f t="shared" si="12"/>
        <v/>
      </c>
      <c r="F86" s="671"/>
      <c r="G86" s="672"/>
      <c r="H86" s="163" t="str">
        <f t="shared" si="13"/>
        <v/>
      </c>
      <c r="I86" s="321" t="str">
        <f t="shared" si="43"/>
        <v/>
      </c>
      <c r="J86" s="677" t="str">
        <f>IFERROR(IF(F86="","",VLOOKUP(F86,'10. Condition and Temporal'!$B$6:$F$103,5,FALSE)), "Error ▲")</f>
        <v/>
      </c>
      <c r="K86" s="678"/>
      <c r="L86" s="283" t="str">
        <f t="shared" si="44"/>
        <v/>
      </c>
      <c r="M86" s="687" t="str">
        <f t="shared" si="45"/>
        <v/>
      </c>
      <c r="N86" s="688"/>
      <c r="O86" s="74"/>
      <c r="P86" s="12"/>
      <c r="R86" s="653"/>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175</v>
      </c>
      <c r="BX86" s="95">
        <f>BT66</f>
        <v>0</v>
      </c>
    </row>
    <row r="87" spans="1:76" s="25" customFormat="1" ht="16.149999999999999" thickBot="1" x14ac:dyDescent="0.5">
      <c r="A87" s="89"/>
      <c r="B87" s="265">
        <v>20</v>
      </c>
      <c r="C87" s="138" t="str">
        <f t="shared" si="11"/>
        <v/>
      </c>
      <c r="D87" s="420" t="str">
        <f t="shared" si="42"/>
        <v/>
      </c>
      <c r="E87" s="167" t="str">
        <f t="shared" si="12"/>
        <v/>
      </c>
      <c r="F87" s="675"/>
      <c r="G87" s="676"/>
      <c r="H87" s="164" t="str">
        <f t="shared" si="13"/>
        <v/>
      </c>
      <c r="I87" s="427" t="str">
        <f t="shared" si="43"/>
        <v/>
      </c>
      <c r="J87" s="704" t="str">
        <f>IFERROR(IF(F87="","",VLOOKUP(F87,'10. Condition and Temporal'!$B$6:$F$103,5,FALSE)), "Error ▲")</f>
        <v/>
      </c>
      <c r="K87" s="705"/>
      <c r="L87" s="422" t="str">
        <f t="shared" si="44"/>
        <v/>
      </c>
      <c r="M87" s="697" t="str">
        <f t="shared" si="45"/>
        <v/>
      </c>
      <c r="N87" s="698"/>
      <c r="O87" s="75"/>
      <c r="P87" s="14"/>
      <c r="R87" s="653"/>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176</v>
      </c>
      <c r="BX87" s="95">
        <f>BU66</f>
        <v>0</v>
      </c>
    </row>
    <row r="88" spans="1:76" s="25" customFormat="1" ht="32.65" hidden="1" customHeight="1" thickBot="1" x14ac:dyDescent="0.5">
      <c r="A88" s="89"/>
      <c r="B88" s="267" t="s">
        <v>92</v>
      </c>
      <c r="C88" s="97" t="s">
        <v>93</v>
      </c>
      <c r="D88" s="402" t="s">
        <v>94</v>
      </c>
      <c r="E88" s="97" t="str">
        <f t="shared" si="12"/>
        <v>Condition</v>
      </c>
      <c r="F88" s="673" t="s">
        <v>94</v>
      </c>
      <c r="G88" s="674"/>
      <c r="H88" s="403" t="s">
        <v>115</v>
      </c>
      <c r="I88" s="404">
        <v>0</v>
      </c>
      <c r="J88" s="837" t="str">
        <f>IF(F88="","",VLOOKUP(F88,'10. Condition and Temporal'!$B$6:$F$103,5,FALSE))</f>
        <v>Good</v>
      </c>
      <c r="K88" s="838"/>
      <c r="L88" s="405">
        <f t="shared" ref="L88" si="51">IFERROR(IF(D88="","",IF(AX88="Distinctiveness",(((((I88*AH88*AJ88)-(I88*V88*X88))*(AV88*AT88))+(I88*V88*X88))*(AP88))/10000,((((I88*AJ88*AH88)-(I88*V88*X88))*(AV88*AR88))+(I88*V88*X88))*AP88/10000)),"This intervention is not permitted within the SSM ▲")</f>
        <v>0</v>
      </c>
      <c r="M88" s="695">
        <f>L88-AD88</f>
        <v>0</v>
      </c>
      <c r="N88" s="696"/>
      <c r="O88" s="406"/>
      <c r="P88" s="39"/>
      <c r="R88" s="653"/>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4.65" thickBot="1" x14ac:dyDescent="0.5">
      <c r="H89" s="176" t="s">
        <v>96</v>
      </c>
      <c r="I89" s="318">
        <f>SUMIFS(I68:I87,F68:F87,"&lt;&gt;"&amp;'11. Lists'!Q10,F68:F87,"&lt;&gt;"&amp;'11. Lists'!Q11,F68:F87,"&lt;&gt;"&amp;'11. Lists'!I4,F68:F87,"&lt;&gt;"&amp;'11. Lists'!I2,F68:F87,"&lt;&gt;"&amp;'11. Lists'!I3)</f>
        <v>0</v>
      </c>
      <c r="J89" s="218"/>
      <c r="K89" s="216"/>
      <c r="L89" s="284">
        <f>SUM(L68:L88)</f>
        <v>0</v>
      </c>
      <c r="M89" s="699">
        <f>SUM(M68:N88)</f>
        <v>0</v>
      </c>
      <c r="N89" s="696"/>
      <c r="R89" s="653"/>
    </row>
    <row r="90" spans="1:76" s="25" customFormat="1" x14ac:dyDescent="0.45">
      <c r="C90" s="26"/>
      <c r="R90" s="653"/>
    </row>
    <row r="91" spans="1:76" s="25" customFormat="1" ht="21" x14ac:dyDescent="0.65">
      <c r="B91" s="57" t="s">
        <v>177</v>
      </c>
      <c r="R91" s="653"/>
    </row>
    <row r="92" spans="1:76" s="25" customFormat="1" ht="14.65" thickBot="1" x14ac:dyDescent="0.5">
      <c r="D92" s="88"/>
      <c r="R92" s="653"/>
    </row>
    <row r="93" spans="1:76" s="25" customFormat="1" ht="48" customHeight="1" x14ac:dyDescent="0.45">
      <c r="B93" s="756" t="s">
        <v>178</v>
      </c>
      <c r="C93" s="758"/>
      <c r="D93" s="842" t="s">
        <v>179</v>
      </c>
      <c r="E93" s="844" t="s">
        <v>180</v>
      </c>
      <c r="F93" s="845"/>
      <c r="G93" s="844" t="s">
        <v>181</v>
      </c>
      <c r="H93" s="758"/>
      <c r="I93" s="848" t="s">
        <v>182</v>
      </c>
      <c r="J93" s="849"/>
      <c r="K93" s="849"/>
      <c r="L93" s="849"/>
      <c r="M93" s="849"/>
      <c r="N93" s="849"/>
      <c r="O93" s="849"/>
      <c r="P93" s="850"/>
      <c r="R93" s="653"/>
    </row>
    <row r="94" spans="1:76" s="25" customFormat="1" ht="15.75" customHeight="1" thickBot="1" x14ac:dyDescent="0.5">
      <c r="B94" s="759"/>
      <c r="C94" s="761"/>
      <c r="D94" s="843"/>
      <c r="E94" s="846"/>
      <c r="F94" s="847"/>
      <c r="G94" s="846"/>
      <c r="H94" s="761"/>
      <c r="I94" s="736" t="s">
        <v>183</v>
      </c>
      <c r="J94" s="785"/>
      <c r="K94" s="770"/>
      <c r="L94" s="722" t="s">
        <v>184</v>
      </c>
      <c r="M94" s="785"/>
      <c r="N94" s="770"/>
      <c r="O94" s="722" t="s">
        <v>185</v>
      </c>
      <c r="P94" s="723"/>
      <c r="R94" s="653"/>
    </row>
    <row r="95" spans="1:76" s="25" customFormat="1" ht="23.25" customHeight="1" x14ac:dyDescent="0.45">
      <c r="B95" s="744" t="s">
        <v>186</v>
      </c>
      <c r="C95" s="745"/>
      <c r="D95" s="155">
        <v>0</v>
      </c>
      <c r="E95" s="702">
        <v>0</v>
      </c>
      <c r="F95" s="703"/>
      <c r="G95" s="851">
        <v>13</v>
      </c>
      <c r="H95" s="852"/>
      <c r="I95" s="692">
        <f>D95*'11. Lists'!P47</f>
        <v>0</v>
      </c>
      <c r="J95" s="693"/>
      <c r="K95" s="694"/>
      <c r="L95" s="656">
        <f>IF(E95&gt;D95, "Error ▲", E95*'11. Lists'!P47)</f>
        <v>0</v>
      </c>
      <c r="M95" s="693"/>
      <c r="N95" s="694"/>
      <c r="O95" s="656">
        <f>G95*'11. Lists'!P47</f>
        <v>529.02719999999988</v>
      </c>
      <c r="P95" s="657"/>
      <c r="R95" s="653"/>
    </row>
    <row r="96" spans="1:76" s="25" customFormat="1" ht="24.75" customHeight="1" x14ac:dyDescent="0.45">
      <c r="B96" s="742" t="s">
        <v>187</v>
      </c>
      <c r="C96" s="743"/>
      <c r="D96" s="213"/>
      <c r="E96" s="700"/>
      <c r="F96" s="701"/>
      <c r="G96" s="853"/>
      <c r="H96" s="854"/>
      <c r="I96" s="689">
        <f>D96*'11. Lists'!P48</f>
        <v>0</v>
      </c>
      <c r="J96" s="690"/>
      <c r="K96" s="691"/>
      <c r="L96" s="658">
        <f>IF(E96&gt;D96,"Error ▲",(E96*'11. Lists'!P48))</f>
        <v>0</v>
      </c>
      <c r="M96" s="690"/>
      <c r="N96" s="691"/>
      <c r="O96" s="658">
        <f>G96*'11. Lists'!P48</f>
        <v>0</v>
      </c>
      <c r="P96" s="659"/>
      <c r="R96" s="653"/>
    </row>
    <row r="97" spans="1:18" s="25" customFormat="1" ht="24.75" customHeight="1" x14ac:dyDescent="0.45">
      <c r="B97" s="742" t="s">
        <v>188</v>
      </c>
      <c r="C97" s="743"/>
      <c r="D97" s="213"/>
      <c r="E97" s="700"/>
      <c r="F97" s="701"/>
      <c r="G97" s="853"/>
      <c r="H97" s="854"/>
      <c r="I97" s="689">
        <f>D97*'11. Lists'!P49</f>
        <v>0</v>
      </c>
      <c r="J97" s="690"/>
      <c r="K97" s="691"/>
      <c r="L97" s="658">
        <f>IF(E97&gt;D97,"Error ▲",(E97*'11. Lists'!P49))</f>
        <v>0</v>
      </c>
      <c r="M97" s="690"/>
      <c r="N97" s="691"/>
      <c r="O97" s="658">
        <f>G97*'11. Lists'!P49</f>
        <v>0</v>
      </c>
      <c r="P97" s="659"/>
      <c r="R97" s="653"/>
    </row>
    <row r="98" spans="1:18" s="25" customFormat="1" ht="24.75" customHeight="1" x14ac:dyDescent="0.45">
      <c r="B98" s="742" t="s">
        <v>189</v>
      </c>
      <c r="C98" s="743"/>
      <c r="D98" s="213"/>
      <c r="E98" s="700"/>
      <c r="F98" s="701"/>
      <c r="G98" s="853"/>
      <c r="H98" s="854"/>
      <c r="I98" s="689">
        <f>D98*'11. Lists'!P50</f>
        <v>0</v>
      </c>
      <c r="J98" s="690"/>
      <c r="K98" s="691"/>
      <c r="L98" s="658">
        <f>IF(E98&gt;D98,"Error ▲",(E98*'11. Lists'!P50))</f>
        <v>0</v>
      </c>
      <c r="M98" s="690"/>
      <c r="N98" s="691"/>
      <c r="O98" s="658">
        <f>G98*'11. Lists'!P50</f>
        <v>0</v>
      </c>
      <c r="P98" s="659"/>
      <c r="R98" s="653"/>
    </row>
    <row r="99" spans="1:18" s="25" customFormat="1" ht="24.75" customHeight="1" thickBot="1" x14ac:dyDescent="0.5">
      <c r="B99" s="644" t="s">
        <v>190</v>
      </c>
      <c r="C99" s="737"/>
      <c r="D99" s="285">
        <f>SUM(D95:D98)</f>
        <v>0</v>
      </c>
      <c r="E99" s="654">
        <f>SUM(E95:F98)</f>
        <v>0</v>
      </c>
      <c r="F99" s="707"/>
      <c r="G99" s="654">
        <f>SUM(G95:H98)</f>
        <v>13</v>
      </c>
      <c r="H99" s="655"/>
      <c r="I99" s="707">
        <f>SUM(I95:K98)</f>
        <v>0</v>
      </c>
      <c r="J99" s="706"/>
      <c r="K99" s="706"/>
      <c r="L99" s="706">
        <f>SUM(L95:N98)</f>
        <v>0</v>
      </c>
      <c r="M99" s="706"/>
      <c r="N99" s="706"/>
      <c r="O99" s="654">
        <f>SUM(O95:P98)</f>
        <v>529.02719999999988</v>
      </c>
      <c r="P99" s="655"/>
      <c r="R99" s="653"/>
    </row>
    <row r="100" spans="1:18" s="25" customFormat="1" ht="19.149999999999999" customHeight="1" x14ac:dyDescent="0.45">
      <c r="E100" s="684" t="str">
        <f>IFERROR(IF(OR(E95&gt;D95, E96&gt;D96, E97&gt;D97, E98&gt;D98), "Error - trees retained and lost is greater than number of pre-development trees ▲", ""), "Error  ▲")</f>
        <v/>
      </c>
      <c r="F100" s="684"/>
      <c r="G100" s="684"/>
      <c r="R100" s="653"/>
    </row>
    <row r="101" spans="1:18" s="25" customFormat="1" x14ac:dyDescent="0.45">
      <c r="R101" s="653"/>
    </row>
    <row r="102" spans="1:18" s="25" customFormat="1" x14ac:dyDescent="0.45">
      <c r="A102" s="731" t="s">
        <v>191</v>
      </c>
      <c r="B102" s="731"/>
      <c r="C102" s="731"/>
      <c r="D102" s="731"/>
      <c r="E102" s="731"/>
      <c r="F102" s="731"/>
      <c r="G102" s="731"/>
      <c r="H102" s="731"/>
      <c r="I102" s="731"/>
      <c r="J102" s="731"/>
      <c r="K102" s="731"/>
      <c r="L102" s="731"/>
      <c r="M102" s="731"/>
      <c r="N102" s="731"/>
      <c r="O102" s="731"/>
      <c r="P102" s="731"/>
      <c r="Q102" s="731"/>
      <c r="R102" s="653"/>
    </row>
    <row r="103" spans="1:18" s="25" customFormat="1" x14ac:dyDescent="0.45">
      <c r="A103" s="731"/>
      <c r="B103" s="731"/>
      <c r="C103" s="731"/>
      <c r="D103" s="731"/>
      <c r="E103" s="731"/>
      <c r="F103" s="731"/>
      <c r="G103" s="731"/>
      <c r="H103" s="731"/>
      <c r="I103" s="731"/>
      <c r="J103" s="731"/>
      <c r="K103" s="731"/>
      <c r="L103" s="731"/>
      <c r="M103" s="731"/>
      <c r="N103" s="731"/>
      <c r="O103" s="731"/>
      <c r="P103" s="731"/>
      <c r="Q103" s="731"/>
      <c r="R103" s="653"/>
    </row>
    <row r="104" spans="1:18" s="25" customFormat="1" x14ac:dyDescent="0.45">
      <c r="A104" s="731"/>
      <c r="B104" s="731"/>
      <c r="C104" s="731"/>
      <c r="D104" s="731"/>
      <c r="E104" s="731"/>
      <c r="F104" s="731"/>
      <c r="G104" s="731"/>
      <c r="H104" s="731"/>
      <c r="I104" s="731"/>
      <c r="J104" s="731"/>
      <c r="K104" s="731"/>
      <c r="L104" s="731"/>
      <c r="M104" s="731"/>
      <c r="N104" s="731"/>
      <c r="O104" s="731"/>
      <c r="P104" s="731"/>
      <c r="Q104" s="731"/>
      <c r="R104" s="653"/>
    </row>
    <row r="105" spans="1:18" s="25" customFormat="1" x14ac:dyDescent="0.45">
      <c r="R105" s="653"/>
    </row>
    <row r="106" spans="1:18" s="25" customFormat="1" ht="21" x14ac:dyDescent="0.65">
      <c r="B106" s="57" t="s">
        <v>192</v>
      </c>
      <c r="D106" s="26"/>
      <c r="E106" s="26"/>
      <c r="F106" s="26"/>
      <c r="G106" s="26"/>
      <c r="R106" s="653"/>
    </row>
    <row r="107" spans="1:18" s="25" customFormat="1" ht="14.65" thickBot="1" x14ac:dyDescent="0.5">
      <c r="R107" s="653"/>
    </row>
    <row r="108" spans="1:18" s="25" customFormat="1" ht="36.75" customHeight="1" x14ac:dyDescent="0.45">
      <c r="B108" s="739" t="s">
        <v>193</v>
      </c>
      <c r="C108" s="740"/>
      <c r="D108" s="741"/>
      <c r="E108" s="729" t="str">
        <f>IF(SUM(J114:J135)&gt;0,"Error - Trading Rules Not Satisfied - Insufficient Units Created Within Habitat Groups ▲", "Trading Rules Satisfied ✓")</f>
        <v>Error - Trading Rules Not Satisfied - Insufficient Units Created Within Habitat Groups ▲</v>
      </c>
      <c r="F108" s="729"/>
      <c r="G108" s="729"/>
      <c r="H108" s="729"/>
      <c r="I108" s="730"/>
      <c r="J108" s="157">
        <f>IFERROR(FIND("Error",E108),0)</f>
        <v>1</v>
      </c>
      <c r="R108" s="653"/>
    </row>
    <row r="109" spans="1:18" s="25" customFormat="1" ht="36" customHeight="1" thickBot="1" x14ac:dyDescent="0.5">
      <c r="B109" s="732" t="s">
        <v>194</v>
      </c>
      <c r="C109" s="733"/>
      <c r="D109" s="734"/>
      <c r="E109" s="727" t="str">
        <f>IF(SUM(J138:J140)&gt;0,"Error - Trading Rules Not Satisfied - Insufficient Biodiversity Units Created ▲","Trading Rules Satisfied ✓")</f>
        <v>Trading Rules Satisfied ✓</v>
      </c>
      <c r="F109" s="727"/>
      <c r="G109" s="727"/>
      <c r="H109" s="727"/>
      <c r="I109" s="728"/>
      <c r="J109" s="157">
        <f>IFERROR(FIND("Error",E109),0)</f>
        <v>0</v>
      </c>
      <c r="R109" s="653"/>
    </row>
    <row r="110" spans="1:18" s="25" customFormat="1" x14ac:dyDescent="0.45">
      <c r="R110" s="653"/>
    </row>
    <row r="111" spans="1:18" s="25" customFormat="1" ht="21" x14ac:dyDescent="0.65">
      <c r="B111" s="57" t="s">
        <v>195</v>
      </c>
      <c r="R111" s="653"/>
    </row>
    <row r="112" spans="1:18" s="25" customFormat="1" ht="14.65" thickBot="1" x14ac:dyDescent="0.5">
      <c r="R112" s="653"/>
    </row>
    <row r="113" spans="2:18" s="25" customFormat="1" ht="36.75" customHeight="1" x14ac:dyDescent="0.45">
      <c r="B113" s="791" t="s">
        <v>196</v>
      </c>
      <c r="C113" s="792"/>
      <c r="D113" s="792"/>
      <c r="E113" s="212" t="s">
        <v>197</v>
      </c>
      <c r="F113" s="212" t="s">
        <v>198</v>
      </c>
      <c r="G113" s="212" t="s">
        <v>199</v>
      </c>
      <c r="H113" s="212" t="s">
        <v>200</v>
      </c>
      <c r="I113" s="120" t="s">
        <v>201</v>
      </c>
      <c r="J113" s="430"/>
      <c r="R113" s="653"/>
    </row>
    <row r="114" spans="2:18" s="25" customFormat="1" ht="15.75" customHeight="1" x14ac:dyDescent="0.45">
      <c r="B114" s="793" t="s">
        <v>202</v>
      </c>
      <c r="C114" s="794"/>
      <c r="D114" s="795"/>
      <c r="E114" s="121" t="s">
        <v>203</v>
      </c>
      <c r="F114" s="122">
        <f>SUMIFS($L$11:$L$30,$C$11:$C$30,$B114,$T$11:$T$30,$E114)</f>
        <v>0</v>
      </c>
      <c r="G114" s="122">
        <f>SUMIFS($L$40:$L$59,$C$40:$C$59,$B114,$T$40:$T$59,$E114)+SUMIFS($L$68:$L$87,AY68:AY87,B114,$AG$68:$AG$87,E114)+SUMIFS($AE$11:$AE$31,$C$11:$C$31,B114,$T$11:$T$31,E114)</f>
        <v>0</v>
      </c>
      <c r="H114" s="122">
        <f>G114-F114</f>
        <v>0</v>
      </c>
      <c r="I114" s="123" t="s">
        <v>204</v>
      </c>
      <c r="J114" s="157"/>
      <c r="R114" s="653"/>
    </row>
    <row r="115" spans="2:18" s="25" customFormat="1" ht="15.75" customHeight="1" x14ac:dyDescent="0.5">
      <c r="B115" s="796"/>
      <c r="C115" s="797"/>
      <c r="D115" s="798"/>
      <c r="E115" s="124" t="s">
        <v>205</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3"/>
    </row>
    <row r="116" spans="2:18" s="25" customFormat="1" ht="15.75" customHeight="1" x14ac:dyDescent="0.45">
      <c r="B116" s="793" t="s">
        <v>206</v>
      </c>
      <c r="C116" s="794"/>
      <c r="D116" s="795"/>
      <c r="E116" s="121" t="s">
        <v>203</v>
      </c>
      <c r="F116" s="122">
        <f>SUMIFS($L$11:$L$30,$C$11:$C$30,$B116,$T$11:$T$30,$E116)</f>
        <v>0</v>
      </c>
      <c r="G116" s="122">
        <f>SUMIFS($L$40:$L$59,$C$40:$C$59,$B116,$T$40:$T$59,$E116)+SUMIFS($L$68:$L$87,AY68:AY87,B116,$AG$68:$AG$87,E116)+SUMIFS($AE$11:$AE$31,$C$11:$C$31,B116,$T$11:$T$31,E116)</f>
        <v>0.21402002414807997</v>
      </c>
      <c r="H116" s="122">
        <f>G116-F116</f>
        <v>0.21402002414807997</v>
      </c>
      <c r="I116" s="123" t="s">
        <v>204</v>
      </c>
      <c r="J116" s="157"/>
      <c r="R116" s="653"/>
    </row>
    <row r="117" spans="2:18" s="25" customFormat="1" ht="15.75" customHeight="1" x14ac:dyDescent="0.5">
      <c r="B117" s="796"/>
      <c r="C117" s="797"/>
      <c r="D117" s="798"/>
      <c r="E117" s="124" t="s">
        <v>205</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3"/>
    </row>
    <row r="118" spans="2:18" s="25" customFormat="1" ht="15.75" customHeight="1" x14ac:dyDescent="0.45">
      <c r="B118" s="793" t="s">
        <v>207</v>
      </c>
      <c r="C118" s="794"/>
      <c r="D118" s="795"/>
      <c r="E118" s="121" t="s">
        <v>203</v>
      </c>
      <c r="F118" s="122">
        <f>SUMIFS($L$11:$L$30,$C$11:$C$30,$B118,$T$11:$T$30,$E118)</f>
        <v>0</v>
      </c>
      <c r="G118" s="122">
        <f>SUMIFS($L$40:$L$59,$C$40:$C$59,$B118,$T$40:$T$59,$E118)+SUMIFS($L$68:$L$87,$C$68:$C$87,B118,$AG$68:$AG$87,E118)+SUMIFS($AE$11:$AE$31,$C$11:$C$31,B118,$T$11:$T$31,E118)</f>
        <v>0</v>
      </c>
      <c r="H118" s="122">
        <f t="shared" si="54"/>
        <v>0</v>
      </c>
      <c r="I118" s="123" t="s">
        <v>204</v>
      </c>
      <c r="J118" s="157"/>
      <c r="R118" s="653"/>
    </row>
    <row r="119" spans="2:18" s="25" customFormat="1" ht="15.75" customHeight="1" x14ac:dyDescent="0.5">
      <c r="B119" s="796"/>
      <c r="C119" s="797"/>
      <c r="D119" s="798"/>
      <c r="E119" s="124" t="s">
        <v>205</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3"/>
    </row>
    <row r="120" spans="2:18" s="25" customFormat="1" ht="15.75" customHeight="1" x14ac:dyDescent="0.45">
      <c r="B120" s="793" t="s">
        <v>208</v>
      </c>
      <c r="C120" s="794"/>
      <c r="D120" s="795"/>
      <c r="E120" s="121" t="s">
        <v>203</v>
      </c>
      <c r="F120" s="122">
        <f>SUMIFS($L$11:$L$30,$C$11:$C$30,$B120,$T$11:$T$30,$E120)</f>
        <v>0</v>
      </c>
      <c r="G120" s="122">
        <f>SUMIFS($L$40:$L$59,$C$40:$C$59,$B120,$T$40:$T$59,$E120)+SUMIFS($L$68:$L$87,$C$68:$C$87,B120,$AG$68:$AG$87,E120)+SUMIFS($AE$11:$AE$31,$C$11:$C$31,B120,$T$11:$T$31,E120)</f>
        <v>0</v>
      </c>
      <c r="H120" s="122">
        <f>G120-F120</f>
        <v>0</v>
      </c>
      <c r="I120" s="123" t="s">
        <v>204</v>
      </c>
      <c r="J120" s="157"/>
      <c r="R120" s="653"/>
    </row>
    <row r="121" spans="2:18" s="25" customFormat="1" ht="15.75" customHeight="1" x14ac:dyDescent="0.5">
      <c r="B121" s="796"/>
      <c r="C121" s="797"/>
      <c r="D121" s="798"/>
      <c r="E121" s="124" t="s">
        <v>205</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3"/>
    </row>
    <row r="122" spans="2:18" s="25" customFormat="1" ht="15.75" customHeight="1" x14ac:dyDescent="0.45">
      <c r="B122" s="793" t="s">
        <v>209</v>
      </c>
      <c r="C122" s="794"/>
      <c r="D122" s="795"/>
      <c r="E122" s="121" t="s">
        <v>203</v>
      </c>
      <c r="F122" s="122">
        <f>SUMIFS($L$11:$L$30,$C$11:$C$30,$B122,$T$11:$T$30,$E122)</f>
        <v>0</v>
      </c>
      <c r="G122" s="122">
        <f>SUMIFS($L$40:$L$59,$C$40:$C$59,$B122,$T$40:$T$59,$E122)+SUMIFS($L$68:$L$87,$C$68:$C$87,B122,$AG$68:$AG$87,E122)+SUMIFS($AE$11:$AE$31,$C$11:$C$31,B122,$T$11:$T$31,E122)</f>
        <v>0</v>
      </c>
      <c r="H122" s="122">
        <f t="shared" si="54"/>
        <v>0</v>
      </c>
      <c r="I122" s="123" t="s">
        <v>204</v>
      </c>
      <c r="J122" s="157"/>
      <c r="R122" s="653"/>
    </row>
    <row r="123" spans="2:18" s="25" customFormat="1" ht="15.75" customHeight="1" x14ac:dyDescent="0.5">
      <c r="B123" s="796"/>
      <c r="C123" s="797"/>
      <c r="D123" s="798"/>
      <c r="E123" s="124" t="s">
        <v>205</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3"/>
    </row>
    <row r="124" spans="2:18" s="25" customFormat="1" ht="15.75" customHeight="1" x14ac:dyDescent="0.45">
      <c r="B124" s="793" t="s">
        <v>210</v>
      </c>
      <c r="C124" s="794"/>
      <c r="D124" s="795"/>
      <c r="E124" s="121" t="s">
        <v>203</v>
      </c>
      <c r="F124" s="122">
        <f>SUMIFS($L$11:$L$30,$C$11:$C$30,$B124,$T$11:$T$30,$E124)</f>
        <v>0</v>
      </c>
      <c r="G124" s="122">
        <f>SUMIFS($L$40:$L$59,$C$40:$C$59,$B124,$T$40:$T$59,$E124)+SUMIFS($L$68:$L$87,$C$68:$C$87,B124,$AG$68:$AG$87,E124)+SUMIFS($AE$11:$AE$31,$C$11:$C$31,B124,$T$11:$T$31,E124)</f>
        <v>0</v>
      </c>
      <c r="H124" s="122">
        <f t="shared" si="54"/>
        <v>0</v>
      </c>
      <c r="I124" s="123" t="s">
        <v>204</v>
      </c>
      <c r="J124" s="157"/>
      <c r="R124" s="653"/>
    </row>
    <row r="125" spans="2:18" s="25" customFormat="1" ht="15.75" customHeight="1" x14ac:dyDescent="0.5">
      <c r="B125" s="796"/>
      <c r="C125" s="797"/>
      <c r="D125" s="798"/>
      <c r="E125" s="124" t="s">
        <v>205</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3"/>
    </row>
    <row r="126" spans="2:18" s="25" customFormat="1" ht="15.75" customHeight="1" x14ac:dyDescent="0.45">
      <c r="B126" s="793" t="s">
        <v>211</v>
      </c>
      <c r="C126" s="794"/>
      <c r="D126" s="795"/>
      <c r="E126" s="121" t="s">
        <v>203</v>
      </c>
      <c r="F126" s="122">
        <f>SUMIFS($L$11:$L$30,$C$11:$C$30,$B126,$T$11:$T$30,$E126)</f>
        <v>0</v>
      </c>
      <c r="G126" s="122">
        <f>SUMIFS($L$40:$L$59,$C$40:$C$59,$B126,$T$40:$T$59,$E126)+SUMIFS($L$68:$L$87,AY68:AY87,B126,$AG$68:$AG$87,E126)+SUMIFS($AE$11:$AE$31,$C$11:$C$31,B126,$T$11:$T$31,E126)</f>
        <v>0</v>
      </c>
      <c r="H126" s="122">
        <f t="shared" si="54"/>
        <v>0</v>
      </c>
      <c r="I126" s="123" t="s">
        <v>204</v>
      </c>
      <c r="J126" s="157"/>
      <c r="R126" s="653"/>
    </row>
    <row r="127" spans="2:18" s="25" customFormat="1" ht="15.75" customHeight="1" x14ac:dyDescent="0.5">
      <c r="B127" s="796"/>
      <c r="C127" s="797"/>
      <c r="D127" s="798"/>
      <c r="E127" s="124" t="s">
        <v>205</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3"/>
    </row>
    <row r="128" spans="2:18" s="25" customFormat="1" ht="15.75" customHeight="1" x14ac:dyDescent="0.45">
      <c r="B128" s="793" t="s">
        <v>212</v>
      </c>
      <c r="C128" s="794"/>
      <c r="D128" s="795"/>
      <c r="E128" s="121" t="s">
        <v>203</v>
      </c>
      <c r="F128" s="122">
        <f>SUMIFS($L$11:$L$30,$C$11:$C$30,$B128,$T$11:$T$30,$E128)</f>
        <v>0.20039999999999999</v>
      </c>
      <c r="G128" s="122">
        <f>SUMIFS($L$40:$L$59,$C$40:$C$59,$B128,$T$40:$T$59,$E128)+SUMIFS($L$68:$L$87,AY68:AY87,B128,$AG$68:$AG$87,E128)+SUMIFS($AE$11:$AE$31,$C$11:$C$31,B128,$T$11:$T$31,E128)</f>
        <v>5.9829999999999996E-3</v>
      </c>
      <c r="H128" s="122">
        <f t="shared" si="54"/>
        <v>-0.19441700000000001</v>
      </c>
      <c r="I128" s="123" t="s">
        <v>204</v>
      </c>
      <c r="J128" s="157"/>
      <c r="R128" s="653"/>
    </row>
    <row r="129" spans="2:18" s="25" customFormat="1" ht="15.75" customHeight="1" x14ac:dyDescent="0.5">
      <c r="B129" s="796"/>
      <c r="C129" s="797"/>
      <c r="D129" s="798"/>
      <c r="E129" s="124" t="s">
        <v>205</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3"/>
    </row>
    <row r="130" spans="2:18" s="25" customFormat="1" ht="15.75" customHeight="1" x14ac:dyDescent="0.45">
      <c r="B130" s="793" t="s">
        <v>213</v>
      </c>
      <c r="C130" s="794"/>
      <c r="D130" s="795"/>
      <c r="E130" s="121" t="s">
        <v>203</v>
      </c>
      <c r="F130" s="122">
        <f>SUMIFS($L$11:$L$30,$C$11:$C$30,$B130,$T$11:$T$30,$E130)</f>
        <v>0</v>
      </c>
      <c r="G130" s="122">
        <f>SUMIFS($L$40:$L$59,$C$40:$C$59,$B130,$T$40:$T$59,$E130)+SUMIFS($L$68:$L$87,$C$68:$C$87,B130,$AG$68:$AG$87,E130)+SUMIFS($AE$11:$AE$31,$C$11:$C$31,B130,$T$11:$T$31,E130)</f>
        <v>0</v>
      </c>
      <c r="H130" s="122">
        <f t="shared" si="54"/>
        <v>0</v>
      </c>
      <c r="I130" s="123" t="s">
        <v>204</v>
      </c>
      <c r="J130" s="157"/>
      <c r="R130" s="653"/>
    </row>
    <row r="131" spans="2:18" s="25" customFormat="1" ht="15.75" customHeight="1" x14ac:dyDescent="0.5">
      <c r="B131" s="796"/>
      <c r="C131" s="797"/>
      <c r="D131" s="798"/>
      <c r="E131" s="124" t="s">
        <v>205</v>
      </c>
      <c r="F131" s="122">
        <f>SUMIFS($L$11:$L$30,$C$11:$C$30,$B130,$T$11:$T$30,$E131)</f>
        <v>0.13919999999999999</v>
      </c>
      <c r="G131" s="122">
        <f>SUMIFS($L$40:$L$59,$C$40:$C$59,$B130,$T$40:$T$59,$E131)+SUMIFS($L$68:$L$87,$C$68:$C$87,B130,$AG$68:$AG$87,E131)+SUMIFS($AE$11:$AE$31,$C$11:$C$31,B130,$T$11:$T$31,E131)</f>
        <v>0</v>
      </c>
      <c r="H131" s="122">
        <f t="shared" si="54"/>
        <v>-0.13919999999999999</v>
      </c>
      <c r="I131" s="125" t="str">
        <f>IF(F131=0,"N/A",IF(H131&lt;0,"No ▲","Yes ✓"))</f>
        <v>No ▲</v>
      </c>
      <c r="J131" s="157">
        <f>IF(I131="No ▲",1,0)</f>
        <v>1</v>
      </c>
      <c r="R131" s="653"/>
    </row>
    <row r="132" spans="2:18" s="25" customFormat="1" ht="15.75" customHeight="1" x14ac:dyDescent="0.45">
      <c r="B132" s="793" t="s">
        <v>214</v>
      </c>
      <c r="C132" s="794"/>
      <c r="D132" s="794"/>
      <c r="E132" s="121" t="s">
        <v>203</v>
      </c>
      <c r="F132" s="122">
        <f>SUMIFS($L$11:$L$30,$C$11:$C$30,$B132,$T$11:$T$30,$E132)</f>
        <v>0</v>
      </c>
      <c r="G132" s="122">
        <f>SUMIFS($L$40:$L$59,$C$40:$C$59,$B132,$T$40:$T$59,$E132)+SUMIFS($L$68:$L$87,$C$68:$C$87,B132,$AG$68:$AG$87,E132)+SUMIFS($AE$11:$AE$31,$C$11:$C$31,B132,$T$11:$T$31,E132)</f>
        <v>0</v>
      </c>
      <c r="H132" s="122">
        <f>G132-F132</f>
        <v>0</v>
      </c>
      <c r="I132" s="123" t="s">
        <v>204</v>
      </c>
      <c r="J132" s="157"/>
      <c r="R132" s="653"/>
    </row>
    <row r="133" spans="2:18" s="25" customFormat="1" ht="15.75" customHeight="1" x14ac:dyDescent="0.5">
      <c r="B133" s="808"/>
      <c r="C133" s="809"/>
      <c r="D133" s="809"/>
      <c r="E133" s="375" t="s">
        <v>205</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3"/>
    </row>
    <row r="134" spans="2:18" s="25" customFormat="1" ht="15.75" customHeight="1" x14ac:dyDescent="0.45">
      <c r="B134" s="793" t="s">
        <v>93</v>
      </c>
      <c r="C134" s="794"/>
      <c r="D134" s="795"/>
      <c r="E134" s="121" t="s">
        <v>203</v>
      </c>
      <c r="F134" s="122">
        <f>SUMIFS($L$11:$L$31,$C$11:$C$31,$B134,$T$11:$T$31,$E134)</f>
        <v>0</v>
      </c>
      <c r="G134" s="122">
        <f>SUMIFS($L$40:$L$60,$C$40:$C$60,$B134,$T$40:$T$60,$E134)+SUMIFS($L$68:$L$88,$C$68:$C$88,B134,$AG$68:$AG$88,E134)+SUMIFS($AE$11:$AE$31,$C$11:$C$31,B134,$T$11:$T$31,E134)</f>
        <v>0</v>
      </c>
      <c r="H134" s="122">
        <f>G134-F134</f>
        <v>0</v>
      </c>
      <c r="I134" s="123" t="s">
        <v>204</v>
      </c>
      <c r="J134" s="157"/>
      <c r="R134" s="653"/>
    </row>
    <row r="135" spans="2:18" s="25" customFormat="1" ht="23.25" customHeight="1" thickBot="1" x14ac:dyDescent="0.5">
      <c r="B135" s="810"/>
      <c r="C135" s="811"/>
      <c r="D135" s="812"/>
      <c r="E135" s="214" t="s">
        <v>205</v>
      </c>
      <c r="F135" s="215">
        <f>SUMIFS($L$11:$L$31,$C$11:$C$31,$B134,$T$11:$T$31,$E135)</f>
        <v>0</v>
      </c>
      <c r="G135" s="215">
        <f>SUMIFS($L$40:$L$60,$C$40:$C$60,$B134,$T$40:$T$60,$E135)+SUMIFS($L$68:$L$88,$C$68:$C$88,B134,$AG$68:$AG$88,E135)+SUMIFS($AE$11:$AE$31,$C$11:$C$31,B134,$T$11:$T$31,E135)</f>
        <v>0.16173553491158166</v>
      </c>
      <c r="H135" s="215">
        <f>G135-F135</f>
        <v>0.16173553491158166</v>
      </c>
      <c r="I135" s="502" t="str">
        <f>IF(F135=0,"N/A",IF(H135&lt;0,"No ▲","Yes ✓"))</f>
        <v>N/A</v>
      </c>
      <c r="J135" s="157">
        <f t="shared" ref="J135:J140" si="55">IF(I135="No ▲",1,0)</f>
        <v>0</v>
      </c>
      <c r="R135" s="653"/>
    </row>
    <row r="136" spans="2:18" s="25" customFormat="1" ht="15.75" customHeight="1" thickBot="1" x14ac:dyDescent="0.5">
      <c r="J136" s="157"/>
      <c r="M136" s="26"/>
      <c r="R136" s="653"/>
    </row>
    <row r="137" spans="2:18" s="25" customFormat="1" ht="36" x14ac:dyDescent="0.45">
      <c r="B137" s="739" t="s">
        <v>197</v>
      </c>
      <c r="C137" s="740"/>
      <c r="D137" s="740"/>
      <c r="E137" s="741"/>
      <c r="F137" s="126" t="s">
        <v>198</v>
      </c>
      <c r="G137" s="126" t="s">
        <v>199</v>
      </c>
      <c r="H137" s="126" t="s">
        <v>200</v>
      </c>
      <c r="I137" s="127" t="s">
        <v>201</v>
      </c>
      <c r="J137" s="157"/>
      <c r="M137" s="26"/>
      <c r="R137" s="653"/>
    </row>
    <row r="138" spans="2:18" s="25" customFormat="1" ht="30.75" customHeight="1" x14ac:dyDescent="0.45">
      <c r="B138" s="802" t="s">
        <v>215</v>
      </c>
      <c r="C138" s="803"/>
      <c r="D138" s="803"/>
      <c r="E138" s="804"/>
      <c r="F138" s="122">
        <f>SUMIFS($L$11:$L$31,$T$11:$T$31,"Medium")</f>
        <v>0.13919999999999999</v>
      </c>
      <c r="G138" s="156">
        <f>IF(L61+L89+P1=0,0,SUMIFS($L$40:$L$60,$T$40:$T$60,"Medium")+SUMIFS($L$68:$L$87,$AG$68:$AG$87,"Medium")+SUMIFS($AE$11:$AE$31,$T$11:$T$31,"Medium"))</f>
        <v>0.16173553491158166</v>
      </c>
      <c r="H138" s="122">
        <f>IFERROR(G138-F138,"")</f>
        <v>2.2535534911581667E-2</v>
      </c>
      <c r="I138" s="329" t="str">
        <f>IF(G138="","",IF(H138&gt;=0,"Yes ✓","No ▲"))</f>
        <v>Yes ✓</v>
      </c>
      <c r="J138" s="157">
        <f t="shared" si="55"/>
        <v>0</v>
      </c>
      <c r="R138" s="653" t="s">
        <v>55</v>
      </c>
    </row>
    <row r="139" spans="2:18" s="25" customFormat="1" ht="30.75" customHeight="1" x14ac:dyDescent="0.45">
      <c r="B139" s="802" t="s">
        <v>216</v>
      </c>
      <c r="C139" s="803"/>
      <c r="D139" s="803"/>
      <c r="E139" s="804"/>
      <c r="F139" s="122">
        <f>SUMIFS($L$11:$L$31,$T$11:$T$31,"Low")</f>
        <v>0.20039999999999999</v>
      </c>
      <c r="G139" s="156">
        <f>IF(L61+L89+P1=0,0,SUMIFS($L$40:$L$60,$T$40:$T$60,"Low")+SUMIFS($L$68:$L$88,$AG$68:$AG$88,"Low")+SUMIFS($AE$11:$AE$31,$T$11:$T$31,"Low"))</f>
        <v>0.22000302414807996</v>
      </c>
      <c r="H139" s="122">
        <f>IFERROR(G139-F139,"")</f>
        <v>1.9603024148079962E-2</v>
      </c>
      <c r="I139" s="329" t="str">
        <f>IF($I$142&gt;=0,"Yes ✓","No ▲")</f>
        <v>Yes ✓</v>
      </c>
      <c r="J139" s="157">
        <f t="shared" si="55"/>
        <v>0</v>
      </c>
      <c r="R139" s="653"/>
    </row>
    <row r="140" spans="2:18" s="25" customFormat="1" ht="41.25" customHeight="1" thickBot="1" x14ac:dyDescent="0.5">
      <c r="B140" s="805" t="s">
        <v>217</v>
      </c>
      <c r="C140" s="806"/>
      <c r="D140" s="806"/>
      <c r="E140" s="807"/>
      <c r="F140" s="799">
        <f>IFERROR(H138+H139,"")</f>
        <v>4.2138559059661629E-2</v>
      </c>
      <c r="G140" s="800"/>
      <c r="H140" s="801"/>
      <c r="I140" s="330" t="str">
        <f>IF(F140="","",IF(F140&gt;=0,"Yes ✓","No ▲"))</f>
        <v>Yes ✓</v>
      </c>
      <c r="J140" s="157">
        <f t="shared" si="55"/>
        <v>0</v>
      </c>
      <c r="R140" s="653"/>
    </row>
    <row r="141" spans="2:18" s="25" customFormat="1" x14ac:dyDescent="0.45">
      <c r="R141" s="653"/>
    </row>
    <row r="142" spans="2:18" s="25" customFormat="1" x14ac:dyDescent="0.45">
      <c r="I142" s="434">
        <f>IF($H$138&gt;0,($H$139+$H$138),$H$139)</f>
        <v>4.2138559059661629E-2</v>
      </c>
      <c r="R142" s="653"/>
    </row>
    <row r="143" spans="2:18" s="25" customFormat="1" x14ac:dyDescent="0.45">
      <c r="R143" s="653"/>
    </row>
    <row r="144" spans="2:18" s="25" customFormat="1" x14ac:dyDescent="0.45">
      <c r="R144" s="653"/>
    </row>
    <row r="145" spans="18:18" s="25" customFormat="1" x14ac:dyDescent="0.45">
      <c r="R145" s="653"/>
    </row>
    <row r="146" spans="18:18" s="25" customFormat="1" x14ac:dyDescent="0.45">
      <c r="R146" s="653"/>
    </row>
    <row r="147" spans="18:18" s="25" customFormat="1" x14ac:dyDescent="0.45">
      <c r="R147" s="653"/>
    </row>
    <row r="148" spans="18:18" s="25" customFormat="1" x14ac:dyDescent="0.45">
      <c r="R148" s="653"/>
    </row>
    <row r="149" spans="18:18" s="25" customFormat="1" x14ac:dyDescent="0.45">
      <c r="R149" s="653"/>
    </row>
    <row r="150" spans="18:18" s="25" customFormat="1" x14ac:dyDescent="0.45">
      <c r="R150" s="653"/>
    </row>
    <row r="151" spans="18:18" s="25" customFormat="1" x14ac:dyDescent="0.45">
      <c r="R151" s="653"/>
    </row>
    <row r="152" spans="18:18" s="25" customFormat="1" x14ac:dyDescent="0.45">
      <c r="R152" s="653"/>
    </row>
    <row r="153" spans="18:18" s="25" customFormat="1" x14ac:dyDescent="0.45">
      <c r="R153" s="653"/>
    </row>
    <row r="154" spans="18:18" s="25" customFormat="1" x14ac:dyDescent="0.45">
      <c r="R154" s="653"/>
    </row>
    <row r="155" spans="18:18" s="25" customFormat="1" x14ac:dyDescent="0.45">
      <c r="R155" s="653"/>
    </row>
    <row r="156" spans="18:18" s="25" customFormat="1" x14ac:dyDescent="0.45">
      <c r="R156" s="653"/>
    </row>
    <row r="157" spans="18:18" s="25" customFormat="1" x14ac:dyDescent="0.45">
      <c r="R157" s="653"/>
    </row>
    <row r="158" spans="18:18" s="25" customFormat="1" x14ac:dyDescent="0.45">
      <c r="R158" s="653"/>
    </row>
    <row r="159" spans="18:18" s="25" customFormat="1" x14ac:dyDescent="0.45">
      <c r="R159" s="653"/>
    </row>
    <row r="160" spans="18:18" s="25" customFormat="1" x14ac:dyDescent="0.45">
      <c r="R160" s="653"/>
    </row>
    <row r="161" spans="18:18" s="25" customFormat="1" x14ac:dyDescent="0.45">
      <c r="R161" s="653"/>
    </row>
    <row r="162" spans="18:18" s="25" customFormat="1" x14ac:dyDescent="0.45">
      <c r="R162" s="653"/>
    </row>
    <row r="163" spans="18:18" s="25" customFormat="1" x14ac:dyDescent="0.45">
      <c r="R163" s="653"/>
    </row>
    <row r="164" spans="18:18" s="25" customFormat="1" x14ac:dyDescent="0.45">
      <c r="R164" s="653"/>
    </row>
    <row r="165" spans="18:18" s="25" customFormat="1" x14ac:dyDescent="0.45">
      <c r="R165" s="653"/>
    </row>
    <row r="166" spans="18:18" s="25" customFormat="1" x14ac:dyDescent="0.45">
      <c r="R166" s="653"/>
    </row>
    <row r="167" spans="18:18" s="25" customFormat="1" x14ac:dyDescent="0.45">
      <c r="R167" s="653"/>
    </row>
    <row r="168" spans="18:18" s="25" customFormat="1" x14ac:dyDescent="0.45">
      <c r="R168" s="653"/>
    </row>
    <row r="169" spans="18:18" s="25" customFormat="1" x14ac:dyDescent="0.45">
      <c r="R169" s="653"/>
    </row>
  </sheetData>
  <sheetProtection algorithmName="SHA-512" hashValue="rsFdASMxyLnDo8IkIV7Oz7GB6MQlYQrKcjh4/1rrGzsCnMN8e+oyx4NVrw492eMJ0B8aqwKpBzG9N0LG0ETPHQ==" saltValue="nPSlTLoCZlsnf9MRvJ0giA==" spinCount="100000" sheet="1" formatRows="0"/>
  <mergeCells count="331">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8:K48"/>
    <mergeCell ref="I47:K47"/>
    <mergeCell ref="I46:K46"/>
    <mergeCell ref="I44:K4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election activeCell="F17" sqref="F17:H21"/>
    </sheetView>
  </sheetViews>
  <sheetFormatPr defaultColWidth="0" defaultRowHeight="14.25" zeroHeight="1" x14ac:dyDescent="0.45"/>
  <cols>
    <col min="1" max="1" width="4.59765625" customWidth="1"/>
    <col min="2" max="2" width="14.86328125" customWidth="1"/>
    <col min="3" max="3" width="24.3984375" bestFit="1" customWidth="1"/>
    <col min="4" max="4" width="40.1328125" customWidth="1"/>
    <col min="5" max="5" width="27" customWidth="1"/>
    <col min="6" max="6" width="18.59765625" customWidth="1"/>
    <col min="7" max="7" width="39.73046875" customWidth="1"/>
    <col min="8" max="8" width="49.265625" bestFit="1" customWidth="1"/>
    <col min="9" max="9" width="14.59765625" customWidth="1"/>
    <col min="10" max="10" width="12.73046875" customWidth="1"/>
    <col min="11" max="11" width="11.3984375" customWidth="1"/>
    <col min="12" max="12" width="13" customWidth="1"/>
    <col min="13" max="14" width="11.3984375" customWidth="1"/>
    <col min="15" max="16" width="27" customWidth="1"/>
    <col min="17" max="18" width="11.3984375" customWidth="1"/>
    <col min="19" max="19" width="2.59765625" customWidth="1"/>
    <col min="20" max="20" width="16.73046875" customWidth="1"/>
    <col min="21" max="21" width="14.86328125" customWidth="1"/>
    <col min="22" max="22" width="20.73046875" bestFit="1" customWidth="1"/>
    <col min="23" max="23" width="23.73046875" customWidth="1"/>
    <col min="24" max="24" width="16.86328125" bestFit="1" customWidth="1"/>
    <col min="25" max="25" width="14" hidden="1" customWidth="1"/>
    <col min="26" max="26" width="22" hidden="1" customWidth="1"/>
    <col min="27" max="27" width="14" hidden="1" customWidth="1"/>
    <col min="28" max="28" width="33.73046875" customWidth="1"/>
    <col min="29" max="30" width="32.73046875" customWidth="1"/>
    <col min="31" max="31" width="18.73046875" customWidth="1"/>
    <col min="32" max="32" width="23.73046875" customWidth="1"/>
    <col min="33" max="33" width="16.73046875" customWidth="1"/>
    <col min="34" max="34" width="65.73046875" bestFit="1" customWidth="1"/>
    <col min="35" max="35" width="207" bestFit="1" customWidth="1"/>
    <col min="36" max="36" width="23.59765625" customWidth="1"/>
    <col min="37" max="37" width="23.59765625" hidden="1" customWidth="1"/>
    <col min="38" max="38" width="16.73046875" hidden="1" customWidth="1"/>
    <col min="39" max="39" width="13.265625" hidden="1" customWidth="1"/>
    <col min="40" max="40" width="12.265625" customWidth="1"/>
    <col min="41" max="41" width="34.1328125" bestFit="1" customWidth="1"/>
    <col min="42" max="42" width="19.73046875" bestFit="1" customWidth="1"/>
    <col min="43" max="43" width="16.265625" bestFit="1" customWidth="1"/>
    <col min="44" max="47" width="27.265625" customWidth="1"/>
    <col min="48" max="48" width="21.1328125" bestFit="1" customWidth="1"/>
    <col min="49" max="49" width="23.265625" bestFit="1" customWidth="1"/>
    <col min="50" max="50" width="68.265625" customWidth="1"/>
    <col min="51" max="51" width="23.265625" customWidth="1"/>
    <col min="52" max="52" width="24.3984375" customWidth="1"/>
    <col min="53" max="53" width="18.73046875" customWidth="1"/>
    <col min="54" max="73" width="31.73046875" customWidth="1"/>
    <col min="74" max="74" width="15.59765625" customWidth="1"/>
    <col min="75" max="80" width="8.86328125" customWidth="1"/>
    <col min="81" max="16384" width="8.86328125" hidden="1"/>
  </cols>
  <sheetData>
    <row r="1" spans="1:35" s="25" customFormat="1" ht="15.75" customHeight="1" thickBot="1" x14ac:dyDescent="0.5">
      <c r="I1" s="52"/>
      <c r="J1" s="52"/>
      <c r="K1" s="52"/>
      <c r="L1" s="52"/>
      <c r="M1" s="52"/>
      <c r="N1" s="52"/>
      <c r="O1" s="154" t="s">
        <v>54</v>
      </c>
      <c r="P1" s="277">
        <f>IFERROR(SUM(AE11:AE30), "Error ▲")</f>
        <v>0</v>
      </c>
      <c r="R1" s="653" t="s">
        <v>55</v>
      </c>
      <c r="T1" s="26"/>
    </row>
    <row r="2" spans="1:35" s="25" customFormat="1" ht="19.899999999999999" customHeight="1" x14ac:dyDescent="0.55000000000000004">
      <c r="B2" s="80" t="s">
        <v>56</v>
      </c>
      <c r="C2" s="827" t="str">
        <f>IF('2. Site Details'!D4="","Enter site name on 2. Site Details",'2. Site Details'!D4)</f>
        <v>McDonalds Molesworth Street</v>
      </c>
      <c r="D2" s="828"/>
      <c r="F2" s="772" t="s">
        <v>218</v>
      </c>
      <c r="G2" s="773"/>
      <c r="H2" s="774"/>
      <c r="I2" s="52"/>
      <c r="J2" s="786" t="str" cm="1">
        <f t="array" aca="1" ref="J2" ca="1">IFERROR(IF(OR((ISNUMBER(SEARCH("▲",A7:Q101)))),"Input Errors Present On Sheet - Red Cells Or ▲ Highlight Errors","All Key Rules Satisfied ✓ "),"Technical Errors On Sheet ▲")</f>
        <v xml:space="preserve">All Key Rules Satisfied ✓ </v>
      </c>
      <c r="K2" s="786"/>
      <c r="L2" s="786"/>
      <c r="M2" s="786"/>
      <c r="N2" s="81"/>
      <c r="O2" s="83" t="s">
        <v>58</v>
      </c>
      <c r="P2" s="277">
        <f>IFERROR(N31, "Error ▲")</f>
        <v>0</v>
      </c>
      <c r="R2" s="653"/>
      <c r="T2" s="26"/>
    </row>
    <row r="3" spans="1:35" s="25" customFormat="1" ht="19.899999999999999" customHeight="1" thickBot="1" x14ac:dyDescent="0.6">
      <c r="B3" s="82" t="s">
        <v>13</v>
      </c>
      <c r="C3" s="829" t="s">
        <v>219</v>
      </c>
      <c r="D3" s="830"/>
      <c r="F3" s="775"/>
      <c r="G3" s="776"/>
      <c r="H3" s="777"/>
      <c r="I3" s="52"/>
      <c r="J3" s="786"/>
      <c r="K3" s="786"/>
      <c r="L3" s="786"/>
      <c r="M3" s="786"/>
      <c r="N3" s="81"/>
      <c r="O3" s="83" t="s">
        <v>60</v>
      </c>
      <c r="P3" s="277">
        <f>IFERROR(L59, "Error ▲")</f>
        <v>0</v>
      </c>
      <c r="R3" s="653"/>
      <c r="T3" s="26"/>
    </row>
    <row r="4" spans="1:35" s="25" customFormat="1" ht="19.899999999999999" customHeight="1" x14ac:dyDescent="0.45">
      <c r="B4" s="84"/>
      <c r="C4" s="84"/>
      <c r="D4" s="84"/>
      <c r="F4" s="775"/>
      <c r="G4" s="776"/>
      <c r="H4" s="777"/>
      <c r="I4" s="52"/>
      <c r="J4" s="786"/>
      <c r="K4" s="786"/>
      <c r="L4" s="786"/>
      <c r="M4" s="786"/>
      <c r="N4" s="81"/>
      <c r="O4" s="83" t="s">
        <v>61</v>
      </c>
      <c r="P4" s="277">
        <f>IFERROR(L86, "Error ▲")</f>
        <v>0</v>
      </c>
      <c r="R4" s="653"/>
      <c r="T4" s="26"/>
    </row>
    <row r="5" spans="1:35" s="25" customFormat="1" ht="19.899999999999999" customHeight="1" thickBot="1" x14ac:dyDescent="0.5">
      <c r="A5" s="85"/>
      <c r="F5" s="775"/>
      <c r="G5" s="776"/>
      <c r="H5" s="777"/>
      <c r="I5" s="52"/>
      <c r="J5" s="786"/>
      <c r="K5" s="786"/>
      <c r="L5" s="786"/>
      <c r="M5" s="786"/>
      <c r="N5" s="81"/>
      <c r="O5" s="86" t="s">
        <v>62</v>
      </c>
      <c r="P5" s="278">
        <f>IFERROR(P1+L59+L86-L31, "Error ▲")</f>
        <v>0</v>
      </c>
      <c r="R5" s="653"/>
      <c r="T5" s="26"/>
    </row>
    <row r="6" spans="1:35" s="25" customFormat="1" ht="13.15" customHeight="1" thickBot="1" x14ac:dyDescent="0.5">
      <c r="A6" s="85"/>
      <c r="F6" s="778"/>
      <c r="G6" s="779"/>
      <c r="H6" s="780"/>
      <c r="I6" s="52"/>
      <c r="J6" s="52"/>
      <c r="K6" s="52"/>
      <c r="L6" s="52"/>
      <c r="M6" s="52"/>
      <c r="N6" s="52"/>
      <c r="O6" s="87"/>
      <c r="P6" s="87"/>
      <c r="R6" s="653"/>
      <c r="T6" s="26"/>
    </row>
    <row r="7" spans="1:35" s="25" customFormat="1" ht="19.149999999999999" customHeight="1" x14ac:dyDescent="0.65">
      <c r="B7" s="57" t="s">
        <v>63</v>
      </c>
      <c r="D7" s="88"/>
      <c r="H7" s="26"/>
      <c r="K7" s="26"/>
      <c r="L7" s="30"/>
      <c r="M7" s="30"/>
      <c r="N7" s="30"/>
      <c r="R7" s="653"/>
      <c r="T7" s="26"/>
    </row>
    <row r="8" spans="1:35" s="25" customFormat="1" ht="10.9" customHeight="1" thickBot="1" x14ac:dyDescent="0.5">
      <c r="A8" s="89"/>
      <c r="R8" s="653"/>
    </row>
    <row r="9" spans="1:35" s="25" customFormat="1" ht="29.65" customHeight="1" x14ac:dyDescent="0.45">
      <c r="A9" s="89"/>
      <c r="B9" s="735" t="s">
        <v>49</v>
      </c>
      <c r="C9" s="724" t="s">
        <v>64</v>
      </c>
      <c r="D9" s="725"/>
      <c r="E9" s="726"/>
      <c r="F9" s="756" t="s">
        <v>65</v>
      </c>
      <c r="G9" s="757"/>
      <c r="H9" s="758"/>
      <c r="I9" s="724" t="s">
        <v>220</v>
      </c>
      <c r="J9" s="725"/>
      <c r="K9" s="726"/>
      <c r="L9" s="753" t="s">
        <v>67</v>
      </c>
      <c r="M9" s="754"/>
      <c r="N9" s="755"/>
      <c r="O9" s="753" t="s">
        <v>68</v>
      </c>
      <c r="P9" s="755"/>
      <c r="R9" s="653"/>
      <c r="T9" s="681" t="s">
        <v>69</v>
      </c>
      <c r="U9" s="682"/>
      <c r="V9" s="914"/>
      <c r="W9" s="681" t="s">
        <v>70</v>
      </c>
      <c r="X9" s="683"/>
      <c r="Y9" s="763"/>
      <c r="Z9" s="763"/>
      <c r="AA9" s="763"/>
      <c r="AB9" s="762" t="s">
        <v>71</v>
      </c>
      <c r="AC9" s="682"/>
      <c r="AD9" s="683"/>
      <c r="AE9" s="681" t="s">
        <v>72</v>
      </c>
      <c r="AF9" s="682"/>
      <c r="AG9" s="683"/>
      <c r="AH9" s="681" t="s">
        <v>73</v>
      </c>
      <c r="AI9" s="683" t="s">
        <v>74</v>
      </c>
    </row>
    <row r="10" spans="1:35" s="25" customFormat="1" ht="32.65" customHeight="1" thickBot="1" x14ac:dyDescent="0.5">
      <c r="A10" s="89"/>
      <c r="B10" s="736"/>
      <c r="C10" s="86" t="s">
        <v>75</v>
      </c>
      <c r="D10" s="771" t="s">
        <v>76</v>
      </c>
      <c r="E10" s="907"/>
      <c r="F10" s="759"/>
      <c r="G10" s="760"/>
      <c r="H10" s="761"/>
      <c r="I10" s="86" t="s">
        <v>221</v>
      </c>
      <c r="J10" s="197" t="s">
        <v>222</v>
      </c>
      <c r="K10" s="90" t="s">
        <v>223</v>
      </c>
      <c r="L10" s="392" t="s">
        <v>224</v>
      </c>
      <c r="M10" s="393" t="s">
        <v>225</v>
      </c>
      <c r="N10" s="394" t="s">
        <v>82</v>
      </c>
      <c r="O10" s="86" t="s">
        <v>83</v>
      </c>
      <c r="P10" s="90" t="s">
        <v>84</v>
      </c>
      <c r="R10" s="653"/>
      <c r="T10" s="679" t="s">
        <v>85</v>
      </c>
      <c r="U10" s="680"/>
      <c r="V10" s="341" t="s">
        <v>86</v>
      </c>
      <c r="W10" s="91" t="s">
        <v>87</v>
      </c>
      <c r="X10" s="92" t="s">
        <v>86</v>
      </c>
      <c r="Y10" s="346"/>
      <c r="Z10" s="346"/>
      <c r="AA10" s="346"/>
      <c r="AB10" s="334" t="s">
        <v>71</v>
      </c>
      <c r="AC10" s="49" t="s">
        <v>71</v>
      </c>
      <c r="AD10" s="92" t="s">
        <v>88</v>
      </c>
      <c r="AE10" s="91" t="s">
        <v>89</v>
      </c>
      <c r="AF10" s="49" t="s">
        <v>90</v>
      </c>
      <c r="AG10" s="92" t="s">
        <v>91</v>
      </c>
      <c r="AH10" s="679"/>
      <c r="AI10" s="906"/>
    </row>
    <row r="11" spans="1:35" s="25" customFormat="1" ht="15.75" x14ac:dyDescent="0.45">
      <c r="A11" s="89"/>
      <c r="B11" s="270">
        <v>1</v>
      </c>
      <c r="C11" s="551" t="s">
        <v>226</v>
      </c>
      <c r="D11" s="882"/>
      <c r="E11" s="883"/>
      <c r="F11" s="908"/>
      <c r="G11" s="909"/>
      <c r="H11" s="910"/>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3"/>
      <c r="T11" s="662" t="str">
        <f>IF(D11="","",VLOOKUP(D11,'9. All Habitats + Multipliers'!$C$4:$K$102,5,FALSE))</f>
        <v/>
      </c>
      <c r="U11" s="663"/>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15.75" x14ac:dyDescent="0.45">
      <c r="B12" s="264">
        <v>2</v>
      </c>
      <c r="C12" s="551" t="s">
        <v>226</v>
      </c>
      <c r="D12" s="671"/>
      <c r="E12" s="672"/>
      <c r="F12" s="911"/>
      <c r="G12" s="912"/>
      <c r="H12" s="913"/>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3"/>
      <c r="T12" s="662" t="str">
        <f>IF(D12="","",VLOOKUP(D12,'9. All Habitats + Multipliers'!$C$4:$K$102,5,FALSE))</f>
        <v/>
      </c>
      <c r="U12" s="663"/>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15.75" x14ac:dyDescent="0.45">
      <c r="B13" s="264">
        <v>3</v>
      </c>
      <c r="C13" s="551" t="s">
        <v>226</v>
      </c>
      <c r="D13" s="671"/>
      <c r="E13" s="672"/>
      <c r="F13" s="911"/>
      <c r="G13" s="912"/>
      <c r="H13" s="913"/>
      <c r="I13" s="305"/>
      <c r="J13" s="306"/>
      <c r="K13" s="307"/>
      <c r="L13" s="294" t="str">
        <f t="shared" si="0"/>
        <v/>
      </c>
      <c r="M13" s="301" t="str">
        <f t="shared" si="1"/>
        <v/>
      </c>
      <c r="N13" s="290" t="str">
        <f t="shared" si="2"/>
        <v/>
      </c>
      <c r="O13" s="286"/>
      <c r="P13" s="3"/>
      <c r="R13" s="653"/>
      <c r="T13" s="662" t="str">
        <f>IF(D13="","",VLOOKUP(D13,'9. All Habitats + Multipliers'!$C$4:$K$102,5,FALSE))</f>
        <v/>
      </c>
      <c r="U13" s="663"/>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15.75" x14ac:dyDescent="0.45">
      <c r="B14" s="264">
        <v>4</v>
      </c>
      <c r="C14" s="551" t="s">
        <v>226</v>
      </c>
      <c r="D14" s="671"/>
      <c r="E14" s="672"/>
      <c r="F14" s="911"/>
      <c r="G14" s="912"/>
      <c r="H14" s="913"/>
      <c r="I14" s="305"/>
      <c r="J14" s="306"/>
      <c r="K14" s="307"/>
      <c r="L14" s="294" t="str">
        <f t="shared" si="0"/>
        <v/>
      </c>
      <c r="M14" s="301" t="str">
        <f t="shared" si="1"/>
        <v/>
      </c>
      <c r="N14" s="290" t="str">
        <f t="shared" si="2"/>
        <v/>
      </c>
      <c r="O14" s="68"/>
      <c r="P14" s="3"/>
      <c r="R14" s="653"/>
      <c r="T14" s="662" t="str">
        <f>IF(D14="","",VLOOKUP(D14,'9. All Habitats + Multipliers'!$C$4:$K$102,5,FALSE))</f>
        <v/>
      </c>
      <c r="U14" s="663"/>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15.75" x14ac:dyDescent="0.45">
      <c r="B15" s="264">
        <v>5</v>
      </c>
      <c r="C15" s="551" t="s">
        <v>226</v>
      </c>
      <c r="D15" s="671"/>
      <c r="E15" s="672"/>
      <c r="F15" s="766"/>
      <c r="G15" s="767"/>
      <c r="H15" s="768"/>
      <c r="I15" s="305"/>
      <c r="J15" s="306"/>
      <c r="K15" s="307"/>
      <c r="L15" s="294" t="str">
        <f t="shared" si="0"/>
        <v/>
      </c>
      <c r="M15" s="301" t="str">
        <f t="shared" si="1"/>
        <v/>
      </c>
      <c r="N15" s="290" t="str">
        <f t="shared" si="2"/>
        <v/>
      </c>
      <c r="O15" s="68"/>
      <c r="P15" s="3"/>
      <c r="R15" s="653"/>
      <c r="T15" s="662" t="str">
        <f>IF(D15="","",VLOOKUP(D15,'9. All Habitats + Multipliers'!$C$4:$K$102,5,FALSE))</f>
        <v/>
      </c>
      <c r="U15" s="663"/>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15.75" x14ac:dyDescent="0.45">
      <c r="B16" s="264">
        <v>6</v>
      </c>
      <c r="C16" s="551" t="s">
        <v>226</v>
      </c>
      <c r="D16" s="671"/>
      <c r="E16" s="672"/>
      <c r="F16" s="766"/>
      <c r="G16" s="767"/>
      <c r="H16" s="768"/>
      <c r="I16" s="305"/>
      <c r="J16" s="306"/>
      <c r="K16" s="307"/>
      <c r="L16" s="294" t="str">
        <f t="shared" si="0"/>
        <v/>
      </c>
      <c r="M16" s="301" t="str">
        <f t="shared" si="1"/>
        <v/>
      </c>
      <c r="N16" s="290" t="str">
        <f t="shared" si="2"/>
        <v/>
      </c>
      <c r="O16" s="68"/>
      <c r="P16" s="3"/>
      <c r="R16" s="653"/>
      <c r="T16" s="662" t="str">
        <f>IF(D16="","",VLOOKUP(D16,'9. All Habitats + Multipliers'!$C$4:$K$102,5,FALSE))</f>
        <v/>
      </c>
      <c r="U16" s="663"/>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15.75" x14ac:dyDescent="0.45">
      <c r="B17" s="264">
        <v>7</v>
      </c>
      <c r="C17" s="551" t="s">
        <v>226</v>
      </c>
      <c r="D17" s="671"/>
      <c r="E17" s="672"/>
      <c r="F17" s="766"/>
      <c r="G17" s="767"/>
      <c r="H17" s="768"/>
      <c r="I17" s="305"/>
      <c r="J17" s="306"/>
      <c r="K17" s="307"/>
      <c r="L17" s="294" t="str">
        <f t="shared" si="0"/>
        <v/>
      </c>
      <c r="M17" s="301" t="str">
        <f t="shared" si="1"/>
        <v/>
      </c>
      <c r="N17" s="290" t="str">
        <f t="shared" si="2"/>
        <v/>
      </c>
      <c r="O17" s="68"/>
      <c r="P17" s="3"/>
      <c r="R17" s="653"/>
      <c r="T17" s="662" t="str">
        <f>IF(D17="","",VLOOKUP(D17,'9. All Habitats + Multipliers'!$C$4:$K$102,5,FALSE))</f>
        <v/>
      </c>
      <c r="U17" s="663"/>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15.75" x14ac:dyDescent="0.45">
      <c r="B18" s="264">
        <v>8</v>
      </c>
      <c r="C18" s="551" t="s">
        <v>226</v>
      </c>
      <c r="D18" s="671"/>
      <c r="E18" s="672"/>
      <c r="F18" s="766"/>
      <c r="G18" s="767"/>
      <c r="H18" s="768"/>
      <c r="I18" s="305"/>
      <c r="J18" s="306"/>
      <c r="K18" s="307"/>
      <c r="L18" s="294" t="str">
        <f t="shared" si="0"/>
        <v/>
      </c>
      <c r="M18" s="301" t="str">
        <f t="shared" si="1"/>
        <v/>
      </c>
      <c r="N18" s="290" t="str">
        <f t="shared" si="2"/>
        <v/>
      </c>
      <c r="O18" s="68"/>
      <c r="P18" s="3"/>
      <c r="R18" s="653"/>
      <c r="T18" s="662" t="str">
        <f>IF(D18="","",VLOOKUP(D18,'9. All Habitats + Multipliers'!$C$4:$K$102,5,FALSE))</f>
        <v/>
      </c>
      <c r="U18" s="663"/>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15.75" x14ac:dyDescent="0.45">
      <c r="B19" s="264">
        <v>9</v>
      </c>
      <c r="C19" s="551" t="s">
        <v>226</v>
      </c>
      <c r="D19" s="671"/>
      <c r="E19" s="672"/>
      <c r="F19" s="766"/>
      <c r="G19" s="767"/>
      <c r="H19" s="768"/>
      <c r="I19" s="305"/>
      <c r="J19" s="306"/>
      <c r="K19" s="307"/>
      <c r="L19" s="294" t="str">
        <f t="shared" si="0"/>
        <v/>
      </c>
      <c r="M19" s="301" t="str">
        <f t="shared" si="1"/>
        <v/>
      </c>
      <c r="N19" s="290" t="str">
        <f t="shared" si="2"/>
        <v/>
      </c>
      <c r="O19" s="68"/>
      <c r="P19" s="3"/>
      <c r="R19" s="653"/>
      <c r="T19" s="662" t="str">
        <f>IF(D19="","",VLOOKUP(D19,'9. All Habitats + Multipliers'!$C$4:$K$102,5,FALSE))</f>
        <v/>
      </c>
      <c r="U19" s="663"/>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15.75" x14ac:dyDescent="0.45">
      <c r="B20" s="264">
        <v>10</v>
      </c>
      <c r="C20" s="552" t="s">
        <v>226</v>
      </c>
      <c r="D20" s="671"/>
      <c r="E20" s="672"/>
      <c r="F20" s="766"/>
      <c r="G20" s="767"/>
      <c r="H20" s="768"/>
      <c r="I20" s="305"/>
      <c r="J20" s="306"/>
      <c r="K20" s="307"/>
      <c r="L20" s="294" t="str">
        <f t="shared" si="0"/>
        <v/>
      </c>
      <c r="M20" s="301" t="str">
        <f t="shared" si="1"/>
        <v/>
      </c>
      <c r="N20" s="290" t="str">
        <f t="shared" si="2"/>
        <v/>
      </c>
      <c r="O20" s="69"/>
      <c r="P20" s="8"/>
      <c r="R20" s="653"/>
      <c r="T20" s="662" t="str">
        <f>IF(D20="","",VLOOKUP(D20,'9. All Habitats + Multipliers'!$C$4:$K$102,5,FALSE))</f>
        <v/>
      </c>
      <c r="U20" s="663"/>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15.75" x14ac:dyDescent="0.45">
      <c r="B21" s="264">
        <v>11</v>
      </c>
      <c r="C21" s="551" t="s">
        <v>226</v>
      </c>
      <c r="D21" s="671"/>
      <c r="E21" s="672"/>
      <c r="F21" s="766"/>
      <c r="G21" s="767"/>
      <c r="H21" s="768"/>
      <c r="I21" s="305"/>
      <c r="J21" s="306"/>
      <c r="K21" s="307"/>
      <c r="L21" s="294" t="str">
        <f t="shared" si="0"/>
        <v/>
      </c>
      <c r="M21" s="301" t="str">
        <f t="shared" si="1"/>
        <v/>
      </c>
      <c r="N21" s="290" t="str">
        <f t="shared" si="2"/>
        <v/>
      </c>
      <c r="O21" s="69"/>
      <c r="P21" s="8"/>
      <c r="R21" s="653"/>
      <c r="T21" s="662" t="str">
        <f>IF(D21="","",VLOOKUP(D21,'9. All Habitats + Multipliers'!$C$4:$K$102,5,FALSE))</f>
        <v/>
      </c>
      <c r="U21" s="663"/>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15.75" x14ac:dyDescent="0.45">
      <c r="B22" s="264">
        <v>12</v>
      </c>
      <c r="C22" s="551" t="s">
        <v>226</v>
      </c>
      <c r="D22" s="671"/>
      <c r="E22" s="672"/>
      <c r="F22" s="766"/>
      <c r="G22" s="767"/>
      <c r="H22" s="768"/>
      <c r="I22" s="305"/>
      <c r="J22" s="306"/>
      <c r="K22" s="307"/>
      <c r="L22" s="294" t="str">
        <f t="shared" si="0"/>
        <v/>
      </c>
      <c r="M22" s="301" t="str">
        <f t="shared" si="1"/>
        <v/>
      </c>
      <c r="N22" s="290" t="str">
        <f t="shared" si="2"/>
        <v/>
      </c>
      <c r="O22" s="69"/>
      <c r="P22" s="8"/>
      <c r="R22" s="653"/>
      <c r="T22" s="662" t="str">
        <f>IF(D22="","",VLOOKUP(D22,'9. All Habitats + Multipliers'!$C$4:$K$102,5,FALSE))</f>
        <v/>
      </c>
      <c r="U22" s="663"/>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15.75" x14ac:dyDescent="0.45">
      <c r="B23" s="264">
        <v>13</v>
      </c>
      <c r="C23" s="551" t="s">
        <v>226</v>
      </c>
      <c r="D23" s="671"/>
      <c r="E23" s="672"/>
      <c r="F23" s="766"/>
      <c r="G23" s="767"/>
      <c r="H23" s="768"/>
      <c r="I23" s="305"/>
      <c r="J23" s="306"/>
      <c r="K23" s="307"/>
      <c r="L23" s="294" t="str">
        <f t="shared" si="0"/>
        <v/>
      </c>
      <c r="M23" s="301" t="str">
        <f t="shared" si="1"/>
        <v/>
      </c>
      <c r="N23" s="290" t="str">
        <f t="shared" si="2"/>
        <v/>
      </c>
      <c r="O23" s="69"/>
      <c r="P23" s="8"/>
      <c r="R23" s="653"/>
      <c r="T23" s="662" t="str">
        <f>IF(D23="","",VLOOKUP(D23,'9. All Habitats + Multipliers'!$C$4:$K$102,5,FALSE))</f>
        <v/>
      </c>
      <c r="U23" s="663"/>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15.75" x14ac:dyDescent="0.45">
      <c r="B24" s="264">
        <v>14</v>
      </c>
      <c r="C24" s="551" t="s">
        <v>226</v>
      </c>
      <c r="D24" s="671"/>
      <c r="E24" s="672"/>
      <c r="F24" s="766"/>
      <c r="G24" s="767"/>
      <c r="H24" s="768"/>
      <c r="I24" s="305"/>
      <c r="J24" s="306"/>
      <c r="K24" s="307"/>
      <c r="L24" s="294" t="str">
        <f t="shared" si="0"/>
        <v/>
      </c>
      <c r="M24" s="301" t="str">
        <f t="shared" si="1"/>
        <v/>
      </c>
      <c r="N24" s="290" t="str">
        <f t="shared" si="2"/>
        <v/>
      </c>
      <c r="O24" s="69"/>
      <c r="P24" s="8"/>
      <c r="R24" s="653"/>
      <c r="T24" s="662" t="str">
        <f>IF(D24="","",VLOOKUP(D24,'9. All Habitats + Multipliers'!$C$4:$K$102,5,FALSE))</f>
        <v/>
      </c>
      <c r="U24" s="663"/>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15.75" x14ac:dyDescent="0.45">
      <c r="B25" s="264">
        <v>15</v>
      </c>
      <c r="C25" s="551" t="s">
        <v>226</v>
      </c>
      <c r="D25" s="671"/>
      <c r="E25" s="672"/>
      <c r="F25" s="766"/>
      <c r="G25" s="767"/>
      <c r="H25" s="768"/>
      <c r="I25" s="305"/>
      <c r="J25" s="306"/>
      <c r="K25" s="307"/>
      <c r="L25" s="294" t="str">
        <f t="shared" si="0"/>
        <v/>
      </c>
      <c r="M25" s="301" t="str">
        <f t="shared" si="1"/>
        <v/>
      </c>
      <c r="N25" s="290" t="str">
        <f t="shared" si="2"/>
        <v/>
      </c>
      <c r="O25" s="69"/>
      <c r="P25" s="8"/>
      <c r="R25" s="653"/>
      <c r="T25" s="662" t="str">
        <f>IF(D25="","",VLOOKUP(D25,'9. All Habitats + Multipliers'!$C$4:$K$102,5,FALSE))</f>
        <v/>
      </c>
      <c r="U25" s="663"/>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15.75" x14ac:dyDescent="0.45">
      <c r="B26" s="264">
        <v>16</v>
      </c>
      <c r="C26" s="551" t="s">
        <v>226</v>
      </c>
      <c r="D26" s="671"/>
      <c r="E26" s="672"/>
      <c r="F26" s="766"/>
      <c r="G26" s="767"/>
      <c r="H26" s="768"/>
      <c r="I26" s="305"/>
      <c r="J26" s="306"/>
      <c r="K26" s="307"/>
      <c r="L26" s="294" t="str">
        <f t="shared" si="0"/>
        <v/>
      </c>
      <c r="M26" s="301" t="str">
        <f t="shared" si="1"/>
        <v/>
      </c>
      <c r="N26" s="290" t="str">
        <f t="shared" si="2"/>
        <v/>
      </c>
      <c r="O26" s="69"/>
      <c r="P26" s="8"/>
      <c r="R26" s="653"/>
      <c r="T26" s="662" t="str">
        <f>IF(D26="","",VLOOKUP(D26,'9. All Habitats + Multipliers'!$C$4:$K$102,5,FALSE))</f>
        <v/>
      </c>
      <c r="U26" s="663"/>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15.75" x14ac:dyDescent="0.45">
      <c r="B27" s="264">
        <v>17</v>
      </c>
      <c r="C27" s="551" t="s">
        <v>226</v>
      </c>
      <c r="D27" s="671"/>
      <c r="E27" s="672"/>
      <c r="F27" s="766"/>
      <c r="G27" s="767"/>
      <c r="H27" s="768"/>
      <c r="I27" s="305"/>
      <c r="J27" s="306"/>
      <c r="K27" s="307"/>
      <c r="L27" s="294" t="str">
        <f t="shared" si="0"/>
        <v/>
      </c>
      <c r="M27" s="301" t="str">
        <f t="shared" si="1"/>
        <v/>
      </c>
      <c r="N27" s="290" t="str">
        <f t="shared" si="2"/>
        <v/>
      </c>
      <c r="O27" s="69"/>
      <c r="P27" s="8"/>
      <c r="R27" s="653"/>
      <c r="T27" s="662" t="str">
        <f>IF(D27="","",VLOOKUP(D27,'9. All Habitats + Multipliers'!$C$4:$K$102,5,FALSE))</f>
        <v/>
      </c>
      <c r="U27" s="663"/>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15.75" x14ac:dyDescent="0.45">
      <c r="B28" s="264">
        <v>18</v>
      </c>
      <c r="C28" s="551" t="s">
        <v>226</v>
      </c>
      <c r="D28" s="671"/>
      <c r="E28" s="672"/>
      <c r="F28" s="766"/>
      <c r="G28" s="767"/>
      <c r="H28" s="768"/>
      <c r="I28" s="305"/>
      <c r="J28" s="306"/>
      <c r="K28" s="307"/>
      <c r="L28" s="294" t="str">
        <f t="shared" si="0"/>
        <v/>
      </c>
      <c r="M28" s="301" t="str">
        <f t="shared" si="1"/>
        <v/>
      </c>
      <c r="N28" s="290" t="str">
        <f t="shared" si="2"/>
        <v/>
      </c>
      <c r="O28" s="69"/>
      <c r="P28" s="8"/>
      <c r="R28" s="653"/>
      <c r="T28" s="662" t="str">
        <f>IF(D28="","",VLOOKUP(D28,'9. All Habitats + Multipliers'!$C$4:$K$102,5,FALSE))</f>
        <v/>
      </c>
      <c r="U28" s="663"/>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15.75" x14ac:dyDescent="0.45">
      <c r="B29" s="264">
        <v>19</v>
      </c>
      <c r="C29" s="553" t="s">
        <v>226</v>
      </c>
      <c r="D29" s="671"/>
      <c r="E29" s="672"/>
      <c r="F29" s="766"/>
      <c r="G29" s="767"/>
      <c r="H29" s="768"/>
      <c r="I29" s="305"/>
      <c r="J29" s="306"/>
      <c r="K29" s="307"/>
      <c r="L29" s="294" t="str">
        <f t="shared" si="0"/>
        <v/>
      </c>
      <c r="M29" s="301" t="str">
        <f t="shared" si="1"/>
        <v/>
      </c>
      <c r="N29" s="290" t="str">
        <f t="shared" si="2"/>
        <v/>
      </c>
      <c r="O29" s="69"/>
      <c r="P29" s="8"/>
      <c r="R29" s="653"/>
      <c r="T29" s="662" t="str">
        <f>IF(D29="","",VLOOKUP(D29,'9. All Habitats + Multipliers'!$C$4:$K$102,5,FALSE))</f>
        <v/>
      </c>
      <c r="U29" s="663"/>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16.149999999999999" thickBot="1" x14ac:dyDescent="0.5">
      <c r="B30" s="265">
        <v>20</v>
      </c>
      <c r="C30" s="554" t="s">
        <v>226</v>
      </c>
      <c r="D30" s="675"/>
      <c r="E30" s="676"/>
      <c r="F30" s="901"/>
      <c r="G30" s="902"/>
      <c r="H30" s="903"/>
      <c r="I30" s="308"/>
      <c r="J30" s="309"/>
      <c r="K30" s="310"/>
      <c r="L30" s="292" t="str">
        <f t="shared" si="0"/>
        <v/>
      </c>
      <c r="M30" s="315" t="str">
        <f t="shared" si="1"/>
        <v/>
      </c>
      <c r="N30" s="293" t="str">
        <f t="shared" si="2"/>
        <v/>
      </c>
      <c r="O30" s="70"/>
      <c r="P30" s="4"/>
      <c r="R30" s="653"/>
      <c r="T30" s="662" t="str">
        <f>IF(D30="","",VLOOKUP(D30,'9. All Habitats + Multipliers'!$C$4:$K$102,5,FALSE))</f>
        <v/>
      </c>
      <c r="U30" s="663"/>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x14ac:dyDescent="0.45">
      <c r="D31" s="89"/>
      <c r="E31" s="103"/>
      <c r="F31" s="103"/>
      <c r="G31" s="103"/>
      <c r="H31" s="271" t="s">
        <v>227</v>
      </c>
      <c r="I31" s="311">
        <f t="shared" ref="I31:N31" si="7">SUM(I11:I30)</f>
        <v>0</v>
      </c>
      <c r="J31" s="312">
        <f t="shared" si="7"/>
        <v>0</v>
      </c>
      <c r="K31" s="313">
        <f t="shared" si="7"/>
        <v>0</v>
      </c>
      <c r="L31" s="279">
        <f t="shared" si="7"/>
        <v>0</v>
      </c>
      <c r="M31" s="319">
        <f t="shared" si="7"/>
        <v>0</v>
      </c>
      <c r="N31" s="280">
        <f t="shared" si="7"/>
        <v>0</v>
      </c>
      <c r="R31" s="653"/>
    </row>
    <row r="32" spans="2:35" s="25" customFormat="1" x14ac:dyDescent="0.45">
      <c r="D32" s="89"/>
      <c r="E32" s="103"/>
      <c r="F32" s="103"/>
      <c r="G32" s="103"/>
      <c r="H32" s="289" t="s">
        <v>97</v>
      </c>
      <c r="I32" s="894" t="str">
        <f>IF(I31&lt;J31+K31,"Error - Lengths Retained and Enhanced Exceed Total Length ▲","Lengths Acceptable ✓")</f>
        <v>Lengths Acceptable ✓</v>
      </c>
      <c r="J32" s="894"/>
      <c r="K32" s="894"/>
      <c r="L32" s="894"/>
      <c r="M32" s="894"/>
      <c r="N32" s="895"/>
      <c r="O32" s="157">
        <f>IFERROR(FIND("Error",I32),0)</f>
        <v>0</v>
      </c>
      <c r="R32" s="104"/>
    </row>
    <row r="33" spans="2:34" s="25" customFormat="1" ht="14.65" thickBot="1" x14ac:dyDescent="0.5">
      <c r="D33" s="89"/>
      <c r="E33" s="103"/>
      <c r="F33" s="103"/>
      <c r="G33" s="103"/>
      <c r="H33" s="272" t="s">
        <v>98</v>
      </c>
      <c r="I33" s="904" t="str">
        <f>IF(I31&lt;5000,"Lengths Acceptable ✓",IF(I31&gt;=5000,"Length Exceeds Length Appropriate for Small Sites Metric ▲"))</f>
        <v>Lengths Acceptable ✓</v>
      </c>
      <c r="J33" s="904"/>
      <c r="K33" s="904"/>
      <c r="L33" s="904"/>
      <c r="M33" s="904"/>
      <c r="N33" s="905"/>
      <c r="O33" s="157">
        <f>COUNTIF(L11:N30,"*"&amp;"error"&amp;"*")</f>
        <v>0</v>
      </c>
      <c r="R33" s="104"/>
    </row>
    <row r="34" spans="2:34" s="25" customFormat="1" x14ac:dyDescent="0.45">
      <c r="D34" s="89"/>
      <c r="E34" s="103"/>
      <c r="F34" s="103"/>
      <c r="G34" s="103"/>
      <c r="H34" s="103"/>
      <c r="I34" s="103"/>
      <c r="J34" s="103"/>
      <c r="K34" s="103"/>
      <c r="L34" s="103"/>
      <c r="M34" s="103"/>
      <c r="N34" s="103"/>
      <c r="O34" s="103"/>
      <c r="R34" s="653" t="s">
        <v>55</v>
      </c>
    </row>
    <row r="35" spans="2:34" s="25" customFormat="1" ht="21" x14ac:dyDescent="0.65">
      <c r="B35" s="57" t="s">
        <v>100</v>
      </c>
      <c r="D35" s="88"/>
      <c r="E35" s="103"/>
      <c r="F35" s="103"/>
      <c r="G35" s="103"/>
      <c r="I35" s="26"/>
      <c r="R35" s="653"/>
    </row>
    <row r="36" spans="2:34" s="25" customFormat="1" ht="15.75" customHeight="1" thickBot="1" x14ac:dyDescent="0.5">
      <c r="R36" s="653"/>
    </row>
    <row r="37" spans="2:34" s="25" customFormat="1" ht="16.149999999999999" customHeight="1" x14ac:dyDescent="0.45">
      <c r="B37" s="735" t="s">
        <v>49</v>
      </c>
      <c r="C37" s="725"/>
      <c r="D37" s="738"/>
      <c r="E37" s="724" t="s">
        <v>101</v>
      </c>
      <c r="F37" s="784"/>
      <c r="G37" s="726"/>
      <c r="H37" s="784" t="s">
        <v>102</v>
      </c>
      <c r="I37" s="756" t="s">
        <v>228</v>
      </c>
      <c r="J37" s="757"/>
      <c r="K37" s="758"/>
      <c r="L37" s="724" t="s">
        <v>229</v>
      </c>
      <c r="M37" s="725"/>
      <c r="N37" s="726"/>
      <c r="O37" s="769" t="s">
        <v>68</v>
      </c>
      <c r="P37" s="726"/>
      <c r="R37" s="653"/>
      <c r="T37" s="681" t="s">
        <v>69</v>
      </c>
      <c r="U37" s="682"/>
      <c r="V37" s="914"/>
      <c r="W37" s="681" t="s">
        <v>70</v>
      </c>
      <c r="X37" s="683"/>
      <c r="Y37" s="763"/>
      <c r="Z37" s="763"/>
      <c r="AA37" s="763"/>
      <c r="AB37" s="762" t="s">
        <v>71</v>
      </c>
      <c r="AC37" s="682"/>
      <c r="AD37" s="683"/>
      <c r="AE37" s="681" t="s">
        <v>105</v>
      </c>
      <c r="AF37" s="683"/>
      <c r="AG37" s="681" t="s">
        <v>106</v>
      </c>
      <c r="AH37" s="683"/>
    </row>
    <row r="38" spans="2:34" s="25" customFormat="1" ht="28.9" thickBot="1" x14ac:dyDescent="0.5">
      <c r="B38" s="736"/>
      <c r="C38" s="197" t="s">
        <v>75</v>
      </c>
      <c r="D38" s="198" t="s">
        <v>107</v>
      </c>
      <c r="E38" s="86" t="s">
        <v>108</v>
      </c>
      <c r="F38" s="722" t="s">
        <v>109</v>
      </c>
      <c r="G38" s="723"/>
      <c r="H38" s="785"/>
      <c r="I38" s="759"/>
      <c r="J38" s="760"/>
      <c r="K38" s="761"/>
      <c r="L38" s="891"/>
      <c r="M38" s="892"/>
      <c r="N38" s="893"/>
      <c r="O38" s="196" t="s">
        <v>83</v>
      </c>
      <c r="P38" s="90" t="s">
        <v>84</v>
      </c>
      <c r="R38" s="653"/>
      <c r="T38" s="679" t="s">
        <v>85</v>
      </c>
      <c r="U38" s="680"/>
      <c r="V38" s="341" t="s">
        <v>86</v>
      </c>
      <c r="W38" s="91" t="s">
        <v>87</v>
      </c>
      <c r="X38" s="92" t="s">
        <v>86</v>
      </c>
      <c r="Y38" s="346"/>
      <c r="Z38" s="346"/>
      <c r="AA38" s="346"/>
      <c r="AB38" s="334" t="s">
        <v>71</v>
      </c>
      <c r="AC38" s="49" t="s">
        <v>71</v>
      </c>
      <c r="AD38" s="92" t="s">
        <v>88</v>
      </c>
      <c r="AE38" s="91" t="s">
        <v>110</v>
      </c>
      <c r="AF38" s="92" t="s">
        <v>111</v>
      </c>
      <c r="AG38" s="91" t="s">
        <v>112</v>
      </c>
      <c r="AH38" s="92" t="s">
        <v>113</v>
      </c>
    </row>
    <row r="39" spans="2:34" s="25" customFormat="1" ht="15.75" x14ac:dyDescent="0.45">
      <c r="B39" s="263">
        <v>1</v>
      </c>
      <c r="C39" s="551" t="s">
        <v>226</v>
      </c>
      <c r="D39" s="73"/>
      <c r="E39" s="105" t="str">
        <f>IF(D39="","",VLOOKUP(D39,'10. Condition and Temporal'!$B$6:$D$103,3,FALSE))</f>
        <v/>
      </c>
      <c r="F39" s="896"/>
      <c r="G39" s="897"/>
      <c r="H39" s="72"/>
      <c r="I39" s="717"/>
      <c r="J39" s="718"/>
      <c r="K39" s="718"/>
      <c r="L39" s="898" t="str">
        <f>IF(D39="","",IFERROR(IF(I39="","",((I39/1000)*(V39*X39))*(AH39*AF39)*AD39),"This intervention is not permitted within the SSM ▲"))</f>
        <v/>
      </c>
      <c r="M39" s="899"/>
      <c r="N39" s="900"/>
      <c r="O39" s="210"/>
      <c r="P39" s="1"/>
      <c r="Q39" s="106"/>
      <c r="R39" s="653"/>
      <c r="T39" s="662" t="str">
        <f>IF(D39="","",VLOOKUP(D39,'9. All Habitats + Multipliers'!$C$4:$K$102,5,FALSE))</f>
        <v/>
      </c>
      <c r="U39" s="663"/>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15.75" x14ac:dyDescent="0.45">
      <c r="B40" s="264">
        <v>2</v>
      </c>
      <c r="C40" s="551" t="s">
        <v>226</v>
      </c>
      <c r="D40" s="73"/>
      <c r="E40" s="105" t="str">
        <f>IF(D40="","",VLOOKUP(D40,'10. Condition and Temporal'!$B$6:$D$103,3,FALSE))</f>
        <v/>
      </c>
      <c r="F40" s="858"/>
      <c r="G40" s="859"/>
      <c r="H40" s="71"/>
      <c r="I40" s="717"/>
      <c r="J40" s="718"/>
      <c r="K40" s="718"/>
      <c r="L40" s="860" t="str">
        <f t="shared" ref="L40:L58" si="8">IF(D40="","",IFERROR(IF(I40="","",((I40/1000)*(V40*X40))*(AH40*AF40)*AD40),"This intervention is not permitted within the SSM ▲"))</f>
        <v/>
      </c>
      <c r="M40" s="861"/>
      <c r="N40" s="862"/>
      <c r="O40" s="74"/>
      <c r="P40" s="12"/>
      <c r="Q40" s="106"/>
      <c r="R40" s="653"/>
      <c r="T40" s="662" t="str">
        <f>IF(D40="","",VLOOKUP(D40,'9. All Habitats + Multipliers'!$C$4:$K$102,5,FALSE))</f>
        <v/>
      </c>
      <c r="U40" s="663"/>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75" x14ac:dyDescent="0.45">
      <c r="B41" s="264">
        <v>3</v>
      </c>
      <c r="C41" s="551" t="s">
        <v>226</v>
      </c>
      <c r="D41" s="73"/>
      <c r="E41" s="105" t="str">
        <f>IF(D41="","",VLOOKUP(D41,'10. Condition and Temporal'!$B$6:$D$103,3,FALSE))</f>
        <v/>
      </c>
      <c r="F41" s="858"/>
      <c r="G41" s="859"/>
      <c r="H41" s="71"/>
      <c r="I41" s="717"/>
      <c r="J41" s="718"/>
      <c r="K41" s="718"/>
      <c r="L41" s="860" t="str">
        <f t="shared" si="8"/>
        <v/>
      </c>
      <c r="M41" s="861"/>
      <c r="N41" s="862"/>
      <c r="O41" s="74"/>
      <c r="P41" s="12"/>
      <c r="Q41" s="106"/>
      <c r="R41" s="653"/>
      <c r="T41" s="662" t="str">
        <f>IF(D41="","",VLOOKUP(D41,'9. All Habitats + Multipliers'!$C$4:$K$102,5,FALSE))</f>
        <v/>
      </c>
      <c r="U41" s="663"/>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x14ac:dyDescent="0.45">
      <c r="B42" s="264">
        <v>4</v>
      </c>
      <c r="C42" s="551" t="s">
        <v>226</v>
      </c>
      <c r="D42" s="73"/>
      <c r="E42" s="105" t="str">
        <f>IF(D42="","",VLOOKUP(D42,'10. Condition and Temporal'!$B$6:$D$103,3,FALSE))</f>
        <v/>
      </c>
      <c r="F42" s="858"/>
      <c r="G42" s="859"/>
      <c r="H42" s="71"/>
      <c r="I42" s="717"/>
      <c r="J42" s="718"/>
      <c r="K42" s="718"/>
      <c r="L42" s="860" t="str">
        <f t="shared" si="8"/>
        <v/>
      </c>
      <c r="M42" s="861"/>
      <c r="N42" s="862"/>
      <c r="O42" s="74"/>
      <c r="P42" s="12"/>
      <c r="Q42" s="106"/>
      <c r="R42" s="653"/>
      <c r="T42" s="662" t="str">
        <f>IF(D42="","",VLOOKUP(D42,'9. All Habitats + Multipliers'!$C$4:$K$102,5,FALSE))</f>
        <v/>
      </c>
      <c r="U42" s="663"/>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x14ac:dyDescent="0.45">
      <c r="B43" s="264">
        <v>5</v>
      </c>
      <c r="C43" s="551" t="s">
        <v>226</v>
      </c>
      <c r="D43" s="73"/>
      <c r="E43" s="105" t="str">
        <f>IF(D43="","",VLOOKUP(D43,'10. Condition and Temporal'!$B$6:$D$103,3,FALSE))</f>
        <v/>
      </c>
      <c r="F43" s="858"/>
      <c r="G43" s="859"/>
      <c r="H43" s="71"/>
      <c r="I43" s="717"/>
      <c r="J43" s="718"/>
      <c r="K43" s="718"/>
      <c r="L43" s="860" t="str">
        <f t="shared" si="8"/>
        <v/>
      </c>
      <c r="M43" s="861"/>
      <c r="N43" s="862"/>
      <c r="O43" s="74"/>
      <c r="P43" s="12"/>
      <c r="R43" s="653"/>
      <c r="T43" s="662" t="str">
        <f>IF(D43="","",VLOOKUP(D43,'9. All Habitats + Multipliers'!$C$4:$K$102,5,FALSE))</f>
        <v/>
      </c>
      <c r="U43" s="663"/>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x14ac:dyDescent="0.45">
      <c r="B44" s="264">
        <v>6</v>
      </c>
      <c r="C44" s="551" t="s">
        <v>226</v>
      </c>
      <c r="D44" s="73"/>
      <c r="E44" s="105" t="str">
        <f>IF(D44="","",VLOOKUP(D44,'10. Condition and Temporal'!$B$6:$D$103,3,FALSE))</f>
        <v/>
      </c>
      <c r="F44" s="858"/>
      <c r="G44" s="859"/>
      <c r="H44" s="71"/>
      <c r="I44" s="717"/>
      <c r="J44" s="718"/>
      <c r="K44" s="718"/>
      <c r="L44" s="860" t="str">
        <f t="shared" si="8"/>
        <v/>
      </c>
      <c r="M44" s="861"/>
      <c r="N44" s="862"/>
      <c r="O44" s="74"/>
      <c r="P44" s="12"/>
      <c r="R44" s="653"/>
      <c r="T44" s="662" t="str">
        <f>IF(D44="","",VLOOKUP(D44,'9. All Habitats + Multipliers'!$C$4:$K$102,5,FALSE))</f>
        <v/>
      </c>
      <c r="U44" s="663"/>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x14ac:dyDescent="0.45">
      <c r="B45" s="264">
        <v>7</v>
      </c>
      <c r="C45" s="551" t="s">
        <v>226</v>
      </c>
      <c r="D45" s="73"/>
      <c r="E45" s="105" t="str">
        <f>IF(D45="","",VLOOKUP(D45,'10. Condition and Temporal'!$B$6:$D$103,3,FALSE))</f>
        <v/>
      </c>
      <c r="F45" s="858"/>
      <c r="G45" s="859"/>
      <c r="H45" s="71"/>
      <c r="I45" s="717"/>
      <c r="J45" s="718"/>
      <c r="K45" s="718"/>
      <c r="L45" s="860" t="str">
        <f t="shared" si="8"/>
        <v/>
      </c>
      <c r="M45" s="861"/>
      <c r="N45" s="862"/>
      <c r="O45" s="74"/>
      <c r="P45" s="12"/>
      <c r="R45" s="653"/>
      <c r="T45" s="662" t="str">
        <f>IF(D45="","",VLOOKUP(D45,'9. All Habitats + Multipliers'!$C$4:$K$102,5,FALSE))</f>
        <v/>
      </c>
      <c r="U45" s="663"/>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x14ac:dyDescent="0.45">
      <c r="B46" s="264">
        <v>8</v>
      </c>
      <c r="C46" s="551" t="s">
        <v>226</v>
      </c>
      <c r="D46" s="73"/>
      <c r="E46" s="105" t="str">
        <f>IF(D46="","",VLOOKUP(D46,'10. Condition and Temporal'!$B$6:$D$103,3,FALSE))</f>
        <v/>
      </c>
      <c r="F46" s="858"/>
      <c r="G46" s="859"/>
      <c r="H46" s="71"/>
      <c r="I46" s="717"/>
      <c r="J46" s="718"/>
      <c r="K46" s="718"/>
      <c r="L46" s="860" t="str">
        <f t="shared" si="8"/>
        <v/>
      </c>
      <c r="M46" s="861"/>
      <c r="N46" s="862"/>
      <c r="O46" s="74"/>
      <c r="P46" s="12"/>
      <c r="R46" s="653"/>
      <c r="T46" s="662" t="str">
        <f>IF(D46="","",VLOOKUP(D46,'9. All Habitats + Multipliers'!$C$4:$K$102,5,FALSE))</f>
        <v/>
      </c>
      <c r="U46" s="663"/>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x14ac:dyDescent="0.45">
      <c r="B47" s="264">
        <v>9</v>
      </c>
      <c r="C47" s="551" t="s">
        <v>226</v>
      </c>
      <c r="D47" s="73"/>
      <c r="E47" s="105" t="str">
        <f>IF(D47="","",VLOOKUP(D47,'10. Condition and Temporal'!$B$6:$D$103,3,FALSE))</f>
        <v/>
      </c>
      <c r="F47" s="858"/>
      <c r="G47" s="859"/>
      <c r="H47" s="71"/>
      <c r="I47" s="717"/>
      <c r="J47" s="718"/>
      <c r="K47" s="718"/>
      <c r="L47" s="860" t="str">
        <f t="shared" si="8"/>
        <v/>
      </c>
      <c r="M47" s="861"/>
      <c r="N47" s="862"/>
      <c r="O47" s="74"/>
      <c r="P47" s="12"/>
      <c r="R47" s="653"/>
      <c r="T47" s="662" t="str">
        <f>IF(D47="","",VLOOKUP(D47,'9. All Habitats + Multipliers'!$C$4:$K$102,5,FALSE))</f>
        <v/>
      </c>
      <c r="U47" s="663"/>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x14ac:dyDescent="0.45">
      <c r="B48" s="264">
        <v>10</v>
      </c>
      <c r="C48" s="552" t="s">
        <v>226</v>
      </c>
      <c r="D48" s="73"/>
      <c r="E48" s="105" t="str">
        <f>IF(D48="","",VLOOKUP(D48,'10. Condition and Temporal'!$B$6:$D$103,3,FALSE))</f>
        <v/>
      </c>
      <c r="F48" s="858"/>
      <c r="G48" s="859"/>
      <c r="H48" s="71"/>
      <c r="I48" s="717"/>
      <c r="J48" s="718"/>
      <c r="K48" s="718"/>
      <c r="L48" s="860" t="str">
        <f t="shared" si="8"/>
        <v/>
      </c>
      <c r="M48" s="861"/>
      <c r="N48" s="862"/>
      <c r="O48" s="74"/>
      <c r="P48" s="12"/>
      <c r="R48" s="653"/>
      <c r="T48" s="662" t="str">
        <f>IF(D48="","",VLOOKUP(D48,'9. All Habitats + Multipliers'!$C$4:$K$102,5,FALSE))</f>
        <v/>
      </c>
      <c r="U48" s="663"/>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15.75" x14ac:dyDescent="0.45">
      <c r="B49" s="264">
        <v>11</v>
      </c>
      <c r="C49" s="551" t="s">
        <v>226</v>
      </c>
      <c r="D49" s="73"/>
      <c r="E49" s="105" t="str">
        <f>IF(D49="","",VLOOKUP(D49,'10. Condition and Temporal'!$B$6:$D$103,3,FALSE))</f>
        <v/>
      </c>
      <c r="F49" s="858"/>
      <c r="G49" s="859"/>
      <c r="H49" s="71"/>
      <c r="I49" s="717"/>
      <c r="J49" s="718"/>
      <c r="K49" s="718"/>
      <c r="L49" s="860" t="str">
        <f t="shared" si="8"/>
        <v/>
      </c>
      <c r="M49" s="861"/>
      <c r="N49" s="862"/>
      <c r="O49" s="74"/>
      <c r="P49" s="12"/>
      <c r="R49" s="653"/>
      <c r="T49" s="662" t="str">
        <f>IF(D49="","",VLOOKUP(D49,'9. All Habitats + Multipliers'!$C$4:$K$102,5,FALSE))</f>
        <v/>
      </c>
      <c r="U49" s="663"/>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15.75" x14ac:dyDescent="0.45">
      <c r="B50" s="264">
        <v>12</v>
      </c>
      <c r="C50" s="551" t="s">
        <v>226</v>
      </c>
      <c r="D50" s="73"/>
      <c r="E50" s="105" t="str">
        <f>IF(D50="","",VLOOKUP(D50,'10. Condition and Temporal'!$B$6:$D$103,3,FALSE))</f>
        <v/>
      </c>
      <c r="F50" s="858"/>
      <c r="G50" s="859"/>
      <c r="H50" s="71"/>
      <c r="I50" s="717"/>
      <c r="J50" s="718"/>
      <c r="K50" s="718"/>
      <c r="L50" s="860" t="str">
        <f t="shared" si="8"/>
        <v/>
      </c>
      <c r="M50" s="861"/>
      <c r="N50" s="862"/>
      <c r="O50" s="74"/>
      <c r="P50" s="12"/>
      <c r="R50" s="653"/>
      <c r="T50" s="662" t="str">
        <f>IF(D50="","",VLOOKUP(D50,'9. All Habitats + Multipliers'!$C$4:$K$102,5,FALSE))</f>
        <v/>
      </c>
      <c r="U50" s="663"/>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15.75" x14ac:dyDescent="0.45">
      <c r="B51" s="264">
        <v>13</v>
      </c>
      <c r="C51" s="551" t="s">
        <v>226</v>
      </c>
      <c r="D51" s="73"/>
      <c r="E51" s="105" t="str">
        <f>IF(D51="","",VLOOKUP(D51,'10. Condition and Temporal'!$B$6:$D$103,3,FALSE))</f>
        <v/>
      </c>
      <c r="F51" s="858"/>
      <c r="G51" s="859"/>
      <c r="H51" s="71"/>
      <c r="I51" s="717"/>
      <c r="J51" s="718"/>
      <c r="K51" s="718"/>
      <c r="L51" s="860" t="str">
        <f t="shared" si="8"/>
        <v/>
      </c>
      <c r="M51" s="861"/>
      <c r="N51" s="862"/>
      <c r="O51" s="74"/>
      <c r="P51" s="12"/>
      <c r="R51" s="653"/>
      <c r="T51" s="662" t="str">
        <f>IF(D51="","",VLOOKUP(D51,'9. All Habitats + Multipliers'!$C$4:$K$102,5,FALSE))</f>
        <v/>
      </c>
      <c r="U51" s="663"/>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15.75" x14ac:dyDescent="0.45">
      <c r="B52" s="264">
        <v>14</v>
      </c>
      <c r="C52" s="551" t="s">
        <v>226</v>
      </c>
      <c r="D52" s="73"/>
      <c r="E52" s="105" t="str">
        <f>IF(D52="","",VLOOKUP(D52,'10. Condition and Temporal'!$B$6:$D$103,3,FALSE))</f>
        <v/>
      </c>
      <c r="F52" s="858"/>
      <c r="G52" s="859"/>
      <c r="H52" s="71"/>
      <c r="I52" s="717"/>
      <c r="J52" s="718"/>
      <c r="K52" s="718"/>
      <c r="L52" s="860" t="str">
        <f t="shared" si="8"/>
        <v/>
      </c>
      <c r="M52" s="861"/>
      <c r="N52" s="862"/>
      <c r="O52" s="74"/>
      <c r="P52" s="12"/>
      <c r="R52" s="653"/>
      <c r="T52" s="662" t="str">
        <f>IF(D52="","",VLOOKUP(D52,'9. All Habitats + Multipliers'!$C$4:$K$102,5,FALSE))</f>
        <v/>
      </c>
      <c r="U52" s="663"/>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15.75" x14ac:dyDescent="0.45">
      <c r="B53" s="264">
        <v>15</v>
      </c>
      <c r="C53" s="551" t="s">
        <v>226</v>
      </c>
      <c r="D53" s="73"/>
      <c r="E53" s="105" t="str">
        <f>IF(D53="","",VLOOKUP(D53,'10. Condition and Temporal'!$B$6:$D$103,3,FALSE))</f>
        <v/>
      </c>
      <c r="F53" s="858"/>
      <c r="G53" s="859"/>
      <c r="H53" s="71"/>
      <c r="I53" s="717"/>
      <c r="J53" s="718"/>
      <c r="K53" s="718"/>
      <c r="L53" s="860" t="str">
        <f t="shared" si="8"/>
        <v/>
      </c>
      <c r="M53" s="861"/>
      <c r="N53" s="862"/>
      <c r="O53" s="74"/>
      <c r="P53" s="12"/>
      <c r="R53" s="653"/>
      <c r="T53" s="662" t="str">
        <f>IF(D53="","",VLOOKUP(D53,'9. All Habitats + Multipliers'!$C$4:$K$102,5,FALSE))</f>
        <v/>
      </c>
      <c r="U53" s="663"/>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15.75" x14ac:dyDescent="0.45">
      <c r="B54" s="264">
        <v>16</v>
      </c>
      <c r="C54" s="551" t="s">
        <v>226</v>
      </c>
      <c r="D54" s="73"/>
      <c r="E54" s="105" t="str">
        <f>IF(D54="","",VLOOKUP(D54,'10. Condition and Temporal'!$B$6:$D$103,3,FALSE))</f>
        <v/>
      </c>
      <c r="F54" s="858"/>
      <c r="G54" s="859"/>
      <c r="H54" s="71"/>
      <c r="I54" s="717"/>
      <c r="J54" s="718"/>
      <c r="K54" s="718"/>
      <c r="L54" s="860" t="str">
        <f t="shared" si="8"/>
        <v/>
      </c>
      <c r="M54" s="861"/>
      <c r="N54" s="862"/>
      <c r="O54" s="74"/>
      <c r="P54" s="12"/>
      <c r="R54" s="653"/>
      <c r="T54" s="662" t="str">
        <f>IF(D54="","",VLOOKUP(D54,'9. All Habitats + Multipliers'!$C$4:$K$102,5,FALSE))</f>
        <v/>
      </c>
      <c r="U54" s="663"/>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15.75" x14ac:dyDescent="0.45">
      <c r="B55" s="264">
        <v>17</v>
      </c>
      <c r="C55" s="551" t="s">
        <v>226</v>
      </c>
      <c r="D55" s="73"/>
      <c r="E55" s="105" t="str">
        <f>IF(D55="","",VLOOKUP(D55,'10. Condition and Temporal'!$B$6:$D$103,3,FALSE))</f>
        <v/>
      </c>
      <c r="F55" s="858"/>
      <c r="G55" s="859"/>
      <c r="H55" s="71"/>
      <c r="I55" s="717"/>
      <c r="J55" s="718"/>
      <c r="K55" s="718"/>
      <c r="L55" s="860" t="str">
        <f t="shared" si="8"/>
        <v/>
      </c>
      <c r="M55" s="861"/>
      <c r="N55" s="862"/>
      <c r="O55" s="74"/>
      <c r="P55" s="12"/>
      <c r="R55" s="653"/>
      <c r="T55" s="662" t="str">
        <f>IF(D55="","",VLOOKUP(D55,'9. All Habitats + Multipliers'!$C$4:$K$102,5,FALSE))</f>
        <v/>
      </c>
      <c r="U55" s="663"/>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15.75" x14ac:dyDescent="0.45">
      <c r="B56" s="264">
        <v>18</v>
      </c>
      <c r="C56" s="551" t="s">
        <v>226</v>
      </c>
      <c r="D56" s="73"/>
      <c r="E56" s="105" t="str">
        <f>IF(D56="","",VLOOKUP(D56,'10. Condition and Temporal'!$B$6:$D$103,3,FALSE))</f>
        <v/>
      </c>
      <c r="F56" s="858"/>
      <c r="G56" s="859"/>
      <c r="H56" s="71"/>
      <c r="I56" s="717"/>
      <c r="J56" s="718"/>
      <c r="K56" s="718"/>
      <c r="L56" s="860" t="str">
        <f t="shared" si="8"/>
        <v/>
      </c>
      <c r="M56" s="861"/>
      <c r="N56" s="862"/>
      <c r="O56" s="74"/>
      <c r="P56" s="12"/>
      <c r="R56" s="653"/>
      <c r="T56" s="662" t="str">
        <f>IF(D56="","",VLOOKUP(D56,'9. All Habitats + Multipliers'!$C$4:$K$102,5,FALSE))</f>
        <v/>
      </c>
      <c r="U56" s="663"/>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15.75" x14ac:dyDescent="0.45">
      <c r="B57" s="264">
        <v>19</v>
      </c>
      <c r="C57" s="553" t="s">
        <v>226</v>
      </c>
      <c r="D57" s="73"/>
      <c r="E57" s="105" t="str">
        <f>IF(D57="","",VLOOKUP(D57,'10. Condition and Temporal'!$B$6:$D$103,3,FALSE))</f>
        <v/>
      </c>
      <c r="F57" s="858"/>
      <c r="G57" s="859"/>
      <c r="H57" s="71"/>
      <c r="I57" s="717"/>
      <c r="J57" s="718"/>
      <c r="K57" s="718"/>
      <c r="L57" s="860" t="str">
        <f t="shared" si="8"/>
        <v/>
      </c>
      <c r="M57" s="861"/>
      <c r="N57" s="862"/>
      <c r="O57" s="74"/>
      <c r="P57" s="12"/>
      <c r="R57" s="653"/>
      <c r="T57" s="662" t="str">
        <f>IF(D57="","",VLOOKUP(D57,'9. All Habitats + Multipliers'!$C$4:$K$102,5,FALSE))</f>
        <v/>
      </c>
      <c r="U57" s="663"/>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16.149999999999999" thickBot="1" x14ac:dyDescent="0.5">
      <c r="B58" s="265">
        <v>20</v>
      </c>
      <c r="C58" s="554" t="s">
        <v>226</v>
      </c>
      <c r="D58" s="135"/>
      <c r="E58" s="136" t="str">
        <f>IF(D58="","",VLOOKUP(D58,'10. Condition and Temporal'!$B$6:$D$103,3,FALSE))</f>
        <v/>
      </c>
      <c r="F58" s="884"/>
      <c r="G58" s="885"/>
      <c r="H58" s="79"/>
      <c r="I58" s="886"/>
      <c r="J58" s="887"/>
      <c r="K58" s="887"/>
      <c r="L58" s="888" t="str">
        <f t="shared" si="8"/>
        <v/>
      </c>
      <c r="M58" s="889"/>
      <c r="N58" s="890"/>
      <c r="O58" s="75"/>
      <c r="P58" s="14"/>
      <c r="R58" s="653"/>
      <c r="T58" s="662" t="str">
        <f>IF(D58="","",VLOOKUP(D58,'9. All Habitats + Multipliers'!$C$4:$K$102,5,FALSE))</f>
        <v/>
      </c>
      <c r="U58" s="663"/>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4.65" thickBot="1" x14ac:dyDescent="0.5">
      <c r="H59" s="269" t="s">
        <v>227</v>
      </c>
      <c r="I59" s="817">
        <f>SUM(I39:K58)</f>
        <v>0</v>
      </c>
      <c r="J59" s="818"/>
      <c r="K59" s="819"/>
      <c r="L59" s="863">
        <f>SUM(L39:N58)</f>
        <v>0</v>
      </c>
      <c r="M59" s="927"/>
      <c r="N59" s="864"/>
      <c r="R59" s="653"/>
    </row>
    <row r="60" spans="1:73" s="25" customFormat="1" ht="14.65" thickBot="1" x14ac:dyDescent="0.5">
      <c r="H60" s="272" t="s">
        <v>97</v>
      </c>
      <c r="I60" s="904" t="str">
        <f>IF(I59&lt;5000,"Lengths Acceptable ✓",IF(I59&gt;=5000,"Length Exceeds Length Appropriate for Small Sites Metric ▲"))</f>
        <v>Lengths Acceptable ✓</v>
      </c>
      <c r="J60" s="904"/>
      <c r="K60" s="904"/>
      <c r="L60" s="904"/>
      <c r="M60" s="904"/>
      <c r="N60" s="905"/>
      <c r="R60" s="653"/>
    </row>
    <row r="61" spans="1:73" s="25" customFormat="1" x14ac:dyDescent="0.45">
      <c r="R61" s="653"/>
      <c r="BA61" s="50" t="s">
        <v>117</v>
      </c>
    </row>
    <row r="62" spans="1:73" s="25" customFormat="1" ht="21" x14ac:dyDescent="0.65">
      <c r="B62" s="57" t="s">
        <v>118</v>
      </c>
      <c r="D62" s="88"/>
      <c r="H62" s="26"/>
      <c r="R62" s="653"/>
      <c r="BA62" s="50" t="s">
        <v>119</v>
      </c>
    </row>
    <row r="63" spans="1:73" s="25" customFormat="1" ht="14.65" thickBot="1" x14ac:dyDescent="0.5">
      <c r="A63" s="878"/>
      <c r="R63" s="653"/>
    </row>
    <row r="64" spans="1:73" s="25" customFormat="1" ht="16.149999999999999" customHeight="1" thickBot="1" x14ac:dyDescent="0.5">
      <c r="A64" s="878"/>
      <c r="B64" s="685" t="s">
        <v>120</v>
      </c>
      <c r="C64" s="681" t="s">
        <v>121</v>
      </c>
      <c r="D64" s="683"/>
      <c r="E64" s="724" t="s">
        <v>122</v>
      </c>
      <c r="F64" s="725"/>
      <c r="G64" s="726"/>
      <c r="H64" s="667" t="s">
        <v>123</v>
      </c>
      <c r="I64" s="667" t="s">
        <v>230</v>
      </c>
      <c r="J64" s="813" t="s">
        <v>125</v>
      </c>
      <c r="K64" s="814"/>
      <c r="L64" s="762" t="s">
        <v>126</v>
      </c>
      <c r="M64" s="682" t="s">
        <v>127</v>
      </c>
      <c r="N64" s="683"/>
      <c r="O64" s="748" t="s">
        <v>68</v>
      </c>
      <c r="P64" s="749"/>
      <c r="R64" s="653"/>
      <c r="T64" s="660" t="s">
        <v>128</v>
      </c>
      <c r="U64" s="661"/>
      <c r="V64" s="661"/>
      <c r="W64" s="661"/>
      <c r="X64" s="661"/>
      <c r="Y64" s="661"/>
      <c r="Z64" s="661"/>
      <c r="AA64" s="661"/>
      <c r="AB64" s="661"/>
      <c r="AC64" s="661"/>
      <c r="AD64" s="666"/>
      <c r="AE64" s="667" t="s">
        <v>129</v>
      </c>
      <c r="AF64" s="660" t="s">
        <v>130</v>
      </c>
      <c r="AG64" s="661"/>
      <c r="AH64" s="661"/>
      <c r="AI64" s="661"/>
      <c r="AJ64" s="926"/>
      <c r="AK64" s="926"/>
      <c r="AL64" s="926"/>
      <c r="AM64" s="926"/>
      <c r="AN64" s="926"/>
      <c r="AO64" s="661"/>
      <c r="AP64" s="666"/>
      <c r="AQ64" s="669" t="s">
        <v>131</v>
      </c>
      <c r="AR64" s="660" t="s">
        <v>130</v>
      </c>
      <c r="AS64" s="661"/>
      <c r="AT64" s="661"/>
      <c r="AU64" s="661"/>
      <c r="AV64" s="661"/>
      <c r="AW64" s="661"/>
      <c r="AX64" s="666"/>
      <c r="BA64" s="154" t="s">
        <v>132</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65" customHeight="1" thickBot="1" x14ac:dyDescent="0.5">
      <c r="A65" s="878"/>
      <c r="B65" s="686"/>
      <c r="C65" s="211" t="s">
        <v>133</v>
      </c>
      <c r="D65" s="90" t="s">
        <v>134</v>
      </c>
      <c r="E65" s="86" t="s">
        <v>135</v>
      </c>
      <c r="F65" s="722" t="s">
        <v>136</v>
      </c>
      <c r="G65" s="723"/>
      <c r="H65" s="668"/>
      <c r="I65" s="668"/>
      <c r="J65" s="815"/>
      <c r="K65" s="816"/>
      <c r="L65" s="868"/>
      <c r="M65" s="840"/>
      <c r="N65" s="841"/>
      <c r="O65" s="196" t="s">
        <v>83</v>
      </c>
      <c r="P65" s="90" t="s">
        <v>84</v>
      </c>
      <c r="R65" s="653"/>
      <c r="T65" s="332" t="s">
        <v>137</v>
      </c>
      <c r="U65" s="351" t="s">
        <v>138</v>
      </c>
      <c r="V65" s="350" t="s">
        <v>139</v>
      </c>
      <c r="W65" s="351" t="s">
        <v>140</v>
      </c>
      <c r="X65" s="354" t="s">
        <v>141</v>
      </c>
      <c r="Y65" s="355"/>
      <c r="Z65" s="355"/>
      <c r="AA65" s="355"/>
      <c r="AB65" s="354" t="s">
        <v>142</v>
      </c>
      <c r="AC65" s="353" t="s">
        <v>143</v>
      </c>
      <c r="AD65" s="350" t="s">
        <v>144</v>
      </c>
      <c r="AE65" s="668"/>
      <c r="AF65" s="333" t="s">
        <v>137</v>
      </c>
      <c r="AG65" s="351" t="s">
        <v>85</v>
      </c>
      <c r="AH65" s="350" t="s">
        <v>86</v>
      </c>
      <c r="AI65" s="333" t="s">
        <v>87</v>
      </c>
      <c r="AJ65" s="357" t="s">
        <v>86</v>
      </c>
      <c r="AK65" s="366"/>
      <c r="AL65" s="366"/>
      <c r="AM65" s="366"/>
      <c r="AN65" s="358" t="s">
        <v>71</v>
      </c>
      <c r="AO65" s="352" t="s">
        <v>71</v>
      </c>
      <c r="AP65" s="350" t="s">
        <v>88</v>
      </c>
      <c r="AQ65" s="925"/>
      <c r="AR65" s="350" t="s">
        <v>145</v>
      </c>
      <c r="AS65" s="351" t="s">
        <v>146</v>
      </c>
      <c r="AT65" s="350" t="s">
        <v>147</v>
      </c>
      <c r="AU65" s="352" t="s">
        <v>148</v>
      </c>
      <c r="AV65" s="350" t="s">
        <v>149</v>
      </c>
      <c r="AW65" s="181" t="s">
        <v>150</v>
      </c>
      <c r="AX65" s="182" t="s">
        <v>151</v>
      </c>
      <c r="BA65" s="83" t="s">
        <v>231</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75" x14ac:dyDescent="0.45">
      <c r="B66" s="270">
        <v>1</v>
      </c>
      <c r="C66" s="415" t="str">
        <f t="shared" ref="C66:C85" si="12">IF(D66="","",C11)</f>
        <v/>
      </c>
      <c r="D66" s="416" t="str">
        <f>IF(OR(K11="", K11=0),"",D11)</f>
        <v/>
      </c>
      <c r="E66" s="417" t="str">
        <f t="shared" ref="E66:E85" si="13">IF(AX66="","",AX66)</f>
        <v/>
      </c>
      <c r="F66" s="882"/>
      <c r="G66" s="883"/>
      <c r="H66" s="418" t="str">
        <f t="shared" ref="H66:H85" si="14">IF(D66="","",AB66)</f>
        <v/>
      </c>
      <c r="I66" s="419" t="str">
        <f>IF(OR(K11="", K11=0),"",K11)</f>
        <v/>
      </c>
      <c r="J66" s="879" t="str">
        <f>IFERROR(IF(F66="","",VLOOKUP(F66,'10. Condition and Temporal'!$B$6:$F$103,5,FALSE)), "Error ▲")</f>
        <v/>
      </c>
      <c r="K66" s="880"/>
      <c r="L66" s="295" t="str">
        <f>IFERROR(IF(D66="","",IF(AX66="Distinctiveness",(((((I66*AH66*AJ66)-(I66*V66*X66))*(AV66*AT66))+(I66*V66*X66))*AP66/1000),((((I66*AH66*AJ66)-(I66*V66*X66))*(AV66*AR66))+(I66*V66*X66))*AP66/1000)),"This intervention is not permitted within the SSM ▲")</f>
        <v/>
      </c>
      <c r="M66" s="869" t="str">
        <f>IFERROR(IF(F66="","",L66-AD66), "Error ▲")</f>
        <v/>
      </c>
      <c r="N66" s="870"/>
      <c r="O66" s="217"/>
      <c r="P66" s="142"/>
      <c r="R66" s="653"/>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157</v>
      </c>
      <c r="BX66" s="95">
        <f>BB64</f>
        <v>0</v>
      </c>
    </row>
    <row r="67" spans="1:76" s="25" customFormat="1" ht="15.75" x14ac:dyDescent="0.45">
      <c r="B67" s="264">
        <v>2</v>
      </c>
      <c r="C67" s="119" t="str">
        <f t="shared" si="12"/>
        <v/>
      </c>
      <c r="D67" s="208" t="str">
        <f t="shared" ref="D67:D85" si="43">IF(OR(K12="", K12=0),"",D12)</f>
        <v/>
      </c>
      <c r="E67" s="166" t="str">
        <f t="shared" si="13"/>
        <v/>
      </c>
      <c r="F67" s="671"/>
      <c r="G67" s="672"/>
      <c r="H67" s="163" t="str">
        <f t="shared" si="14"/>
        <v/>
      </c>
      <c r="I67" s="320" t="str">
        <f t="shared" ref="I67:I85" si="44">IF(OR(K12="", K12=0),"",K12)</f>
        <v/>
      </c>
      <c r="J67" s="866" t="str">
        <f>IFERROR(IF(F67="","",VLOOKUP(F67,'10. Condition and Temporal'!$B$6:$F$103,5,FALSE)), "Error ▲")</f>
        <v/>
      </c>
      <c r="K67" s="867"/>
      <c r="L67" s="283" t="str">
        <f t="shared" ref="L67:L85" si="45">IFERROR(IF(D67="","",IF(AX67="Distinctiveness",(((((I67*AH67*AJ67)-(I67*V67*X67))*(AV67*AT67))+(I67*V67*X67))*AP67/1000),((((I67*AH67*AJ67)-(I67*V67*X67))*(AV67*AR67))+(I67*V67*X67))*AP67/1000)),"This intervention is not permitted within the SSM ▲")</f>
        <v/>
      </c>
      <c r="M67" s="711" t="str">
        <f t="shared" ref="M67:M85" si="46">IFERROR(IF(F67="","",L67-AD67), "Error ▲")</f>
        <v/>
      </c>
      <c r="N67" s="865"/>
      <c r="O67" s="74"/>
      <c r="P67" s="12"/>
      <c r="R67" s="653"/>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158</v>
      </c>
      <c r="BX67" s="95">
        <f>BC64</f>
        <v>0</v>
      </c>
    </row>
    <row r="68" spans="1:76" s="25" customFormat="1" ht="15.75" x14ac:dyDescent="0.45">
      <c r="B68" s="264">
        <v>3</v>
      </c>
      <c r="C68" s="119" t="str">
        <f t="shared" si="12"/>
        <v/>
      </c>
      <c r="D68" s="208" t="str">
        <f t="shared" si="43"/>
        <v/>
      </c>
      <c r="E68" s="166" t="str">
        <f t="shared" si="13"/>
        <v/>
      </c>
      <c r="F68" s="671"/>
      <c r="G68" s="672"/>
      <c r="H68" s="163" t="str">
        <f t="shared" si="14"/>
        <v/>
      </c>
      <c r="I68" s="320" t="str">
        <f t="shared" si="44"/>
        <v/>
      </c>
      <c r="J68" s="866" t="str">
        <f>IFERROR(IF(F68="","",VLOOKUP(F68,'10. Condition and Temporal'!$B$6:$F$103,5,FALSE)), "Error ▲")</f>
        <v/>
      </c>
      <c r="K68" s="867"/>
      <c r="L68" s="283" t="str">
        <f t="shared" si="45"/>
        <v/>
      </c>
      <c r="M68" s="711" t="str">
        <f t="shared" si="46"/>
        <v/>
      </c>
      <c r="N68" s="865"/>
      <c r="O68" s="74"/>
      <c r="P68" s="12"/>
      <c r="R68" s="653"/>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159</v>
      </c>
      <c r="BX68" s="95">
        <f>BD64</f>
        <v>0</v>
      </c>
    </row>
    <row r="69" spans="1:76" s="25" customFormat="1" ht="15.75" x14ac:dyDescent="0.45">
      <c r="B69" s="264">
        <v>4</v>
      </c>
      <c r="C69" s="119" t="str">
        <f t="shared" si="12"/>
        <v/>
      </c>
      <c r="D69" s="208" t="str">
        <f t="shared" si="43"/>
        <v/>
      </c>
      <c r="E69" s="166" t="str">
        <f t="shared" si="13"/>
        <v/>
      </c>
      <c r="F69" s="671"/>
      <c r="G69" s="672"/>
      <c r="H69" s="163" t="str">
        <f t="shared" si="14"/>
        <v/>
      </c>
      <c r="I69" s="320" t="str">
        <f t="shared" si="44"/>
        <v/>
      </c>
      <c r="J69" s="866" t="str">
        <f>IFERROR(IF(F69="","",VLOOKUP(F69,'10. Condition and Temporal'!$B$6:$F$103,5,FALSE)), "Error ▲")</f>
        <v/>
      </c>
      <c r="K69" s="867"/>
      <c r="L69" s="283" t="str">
        <f t="shared" si="45"/>
        <v/>
      </c>
      <c r="M69" s="711" t="str">
        <f t="shared" si="46"/>
        <v/>
      </c>
      <c r="N69" s="865"/>
      <c r="O69" s="74"/>
      <c r="P69" s="12"/>
      <c r="R69" s="653"/>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160</v>
      </c>
      <c r="BX69" s="95">
        <f>BE64</f>
        <v>0</v>
      </c>
    </row>
    <row r="70" spans="1:76" s="25" customFormat="1" ht="15.75" x14ac:dyDescent="0.45">
      <c r="B70" s="264">
        <v>5</v>
      </c>
      <c r="C70" s="119" t="str">
        <f t="shared" si="12"/>
        <v/>
      </c>
      <c r="D70" s="208" t="str">
        <f t="shared" si="43"/>
        <v/>
      </c>
      <c r="E70" s="166" t="str">
        <f t="shared" si="13"/>
        <v/>
      </c>
      <c r="F70" s="671"/>
      <c r="G70" s="672"/>
      <c r="H70" s="163" t="str">
        <f t="shared" si="14"/>
        <v/>
      </c>
      <c r="I70" s="320" t="str">
        <f t="shared" si="44"/>
        <v/>
      </c>
      <c r="J70" s="866" t="str">
        <f>IFERROR(IF(F70="","",VLOOKUP(F70,'10. Condition and Temporal'!$B$6:$F$103,5,FALSE)), "Error ▲")</f>
        <v/>
      </c>
      <c r="K70" s="867"/>
      <c r="L70" s="283" t="str">
        <f t="shared" si="45"/>
        <v/>
      </c>
      <c r="M70" s="711" t="str">
        <f t="shared" si="46"/>
        <v/>
      </c>
      <c r="N70" s="865"/>
      <c r="O70" s="74"/>
      <c r="P70" s="12"/>
      <c r="R70" s="653"/>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161</v>
      </c>
      <c r="BX70" s="95">
        <f>BF64</f>
        <v>0</v>
      </c>
    </row>
    <row r="71" spans="1:76" s="25" customFormat="1" ht="15.75" x14ac:dyDescent="0.45">
      <c r="B71" s="264">
        <v>6</v>
      </c>
      <c r="C71" s="119" t="str">
        <f t="shared" si="12"/>
        <v/>
      </c>
      <c r="D71" s="208" t="str">
        <f t="shared" si="43"/>
        <v/>
      </c>
      <c r="E71" s="166" t="str">
        <f t="shared" si="13"/>
        <v/>
      </c>
      <c r="F71" s="671"/>
      <c r="G71" s="672"/>
      <c r="H71" s="163" t="str">
        <f t="shared" si="14"/>
        <v/>
      </c>
      <c r="I71" s="320" t="str">
        <f t="shared" si="44"/>
        <v/>
      </c>
      <c r="J71" s="866" t="str">
        <f>IFERROR(IF(F71="","",VLOOKUP(F71,'10. Condition and Temporal'!$B$6:$F$103,5,FALSE)), "Error ▲")</f>
        <v/>
      </c>
      <c r="K71" s="867"/>
      <c r="L71" s="283" t="str">
        <f t="shared" si="45"/>
        <v/>
      </c>
      <c r="M71" s="711" t="str">
        <f t="shared" si="46"/>
        <v/>
      </c>
      <c r="N71" s="865"/>
      <c r="O71" s="74"/>
      <c r="P71" s="12"/>
      <c r="R71" s="653"/>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162</v>
      </c>
      <c r="BX71" s="95">
        <f>BG64</f>
        <v>0</v>
      </c>
    </row>
    <row r="72" spans="1:76" s="25" customFormat="1" ht="15.75" x14ac:dyDescent="0.45">
      <c r="B72" s="264">
        <v>7</v>
      </c>
      <c r="C72" s="119" t="str">
        <f t="shared" si="12"/>
        <v/>
      </c>
      <c r="D72" s="208" t="str">
        <f t="shared" si="43"/>
        <v/>
      </c>
      <c r="E72" s="166" t="str">
        <f t="shared" si="13"/>
        <v/>
      </c>
      <c r="F72" s="671"/>
      <c r="G72" s="672"/>
      <c r="H72" s="163" t="str">
        <f t="shared" si="14"/>
        <v/>
      </c>
      <c r="I72" s="320" t="str">
        <f t="shared" si="44"/>
        <v/>
      </c>
      <c r="J72" s="866" t="str">
        <f>IFERROR(IF(F72="","",VLOOKUP(F72,'10. Condition and Temporal'!$B$6:$F$103,5,FALSE)), "Error ▲")</f>
        <v/>
      </c>
      <c r="K72" s="867"/>
      <c r="L72" s="283" t="str">
        <f t="shared" si="45"/>
        <v/>
      </c>
      <c r="M72" s="711" t="str">
        <f t="shared" si="46"/>
        <v/>
      </c>
      <c r="N72" s="865"/>
      <c r="O72" s="74"/>
      <c r="P72" s="12"/>
      <c r="R72" s="653"/>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163</v>
      </c>
      <c r="BX72" s="95">
        <f>BH64</f>
        <v>0</v>
      </c>
    </row>
    <row r="73" spans="1:76" s="25" customFormat="1" ht="15.75" x14ac:dyDescent="0.45">
      <c r="B73" s="264">
        <v>8</v>
      </c>
      <c r="C73" s="119" t="str">
        <f t="shared" si="12"/>
        <v/>
      </c>
      <c r="D73" s="208" t="str">
        <f t="shared" si="43"/>
        <v/>
      </c>
      <c r="E73" s="166" t="str">
        <f t="shared" si="13"/>
        <v/>
      </c>
      <c r="F73" s="671"/>
      <c r="G73" s="672"/>
      <c r="H73" s="163" t="str">
        <f t="shared" si="14"/>
        <v/>
      </c>
      <c r="I73" s="320" t="str">
        <f t="shared" si="44"/>
        <v/>
      </c>
      <c r="J73" s="866" t="str">
        <f>IFERROR(IF(F73="","",VLOOKUP(F73,'10. Condition and Temporal'!$B$6:$F$103,5,FALSE)), "Error ▲")</f>
        <v/>
      </c>
      <c r="K73" s="867"/>
      <c r="L73" s="283" t="str">
        <f t="shared" si="45"/>
        <v/>
      </c>
      <c r="M73" s="711" t="str">
        <f t="shared" si="46"/>
        <v/>
      </c>
      <c r="N73" s="865"/>
      <c r="O73" s="74"/>
      <c r="P73" s="12"/>
      <c r="R73" s="653"/>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164</v>
      </c>
      <c r="BX73" s="95">
        <f>BI64</f>
        <v>0</v>
      </c>
    </row>
    <row r="74" spans="1:76" s="25" customFormat="1" ht="15.75" x14ac:dyDescent="0.45">
      <c r="B74" s="264">
        <v>9</v>
      </c>
      <c r="C74" s="119" t="str">
        <f t="shared" si="12"/>
        <v/>
      </c>
      <c r="D74" s="208" t="str">
        <f t="shared" si="43"/>
        <v/>
      </c>
      <c r="E74" s="166" t="str">
        <f t="shared" si="13"/>
        <v/>
      </c>
      <c r="F74" s="671"/>
      <c r="G74" s="672"/>
      <c r="H74" s="163" t="str">
        <f t="shared" si="14"/>
        <v/>
      </c>
      <c r="I74" s="320" t="str">
        <f t="shared" si="44"/>
        <v/>
      </c>
      <c r="J74" s="866" t="str">
        <f>IFERROR(IF(F74="","",VLOOKUP(F74,'10. Condition and Temporal'!$B$6:$F$103,5,FALSE)), "Error ▲")</f>
        <v/>
      </c>
      <c r="K74" s="867"/>
      <c r="L74" s="283" t="str">
        <f t="shared" si="45"/>
        <v/>
      </c>
      <c r="M74" s="711" t="str">
        <f t="shared" si="46"/>
        <v/>
      </c>
      <c r="N74" s="865"/>
      <c r="O74" s="74"/>
      <c r="P74" s="12"/>
      <c r="R74" s="653"/>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165</v>
      </c>
      <c r="BX74" s="95">
        <f>BJ64</f>
        <v>0</v>
      </c>
    </row>
    <row r="75" spans="1:76" s="25" customFormat="1" ht="15.75" x14ac:dyDescent="0.45">
      <c r="B75" s="264">
        <v>10</v>
      </c>
      <c r="C75" s="119" t="str">
        <f t="shared" si="12"/>
        <v/>
      </c>
      <c r="D75" s="208" t="str">
        <f t="shared" si="43"/>
        <v/>
      </c>
      <c r="E75" s="166" t="str">
        <f t="shared" si="13"/>
        <v/>
      </c>
      <c r="F75" s="671"/>
      <c r="G75" s="672"/>
      <c r="H75" s="163" t="str">
        <f t="shared" si="14"/>
        <v/>
      </c>
      <c r="I75" s="320" t="str">
        <f t="shared" si="44"/>
        <v/>
      </c>
      <c r="J75" s="866" t="str">
        <f>IFERROR(IF(F75="","",VLOOKUP(F75,'10. Condition and Temporal'!$B$6:$F$103,5,FALSE)), "Error ▲")</f>
        <v/>
      </c>
      <c r="K75" s="867"/>
      <c r="L75" s="283" t="str">
        <f t="shared" si="45"/>
        <v/>
      </c>
      <c r="M75" s="711" t="str">
        <f t="shared" si="46"/>
        <v/>
      </c>
      <c r="N75" s="865"/>
      <c r="O75" s="74"/>
      <c r="P75" s="12"/>
      <c r="R75" s="653"/>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166</v>
      </c>
      <c r="BX75" s="95">
        <f>BK64</f>
        <v>0</v>
      </c>
    </row>
    <row r="76" spans="1:76" s="25" customFormat="1" ht="15.75" x14ac:dyDescent="0.45">
      <c r="B76" s="264">
        <v>11</v>
      </c>
      <c r="C76" s="119" t="str">
        <f t="shared" si="12"/>
        <v/>
      </c>
      <c r="D76" s="208" t="str">
        <f t="shared" si="43"/>
        <v/>
      </c>
      <c r="E76" s="166" t="str">
        <f t="shared" si="13"/>
        <v/>
      </c>
      <c r="F76" s="671"/>
      <c r="G76" s="672"/>
      <c r="H76" s="163" t="str">
        <f t="shared" si="14"/>
        <v/>
      </c>
      <c r="I76" s="320" t="str">
        <f t="shared" si="44"/>
        <v/>
      </c>
      <c r="J76" s="866" t="str">
        <f>IFERROR(IF(F76="","",VLOOKUP(F76,'10. Condition and Temporal'!$B$6:$F$103,5,FALSE)), "Error ▲")</f>
        <v/>
      </c>
      <c r="K76" s="867"/>
      <c r="L76" s="283" t="str">
        <f t="shared" si="45"/>
        <v/>
      </c>
      <c r="M76" s="711" t="str">
        <f t="shared" si="46"/>
        <v/>
      </c>
      <c r="N76" s="865"/>
      <c r="O76" s="74"/>
      <c r="P76" s="12"/>
      <c r="R76" s="653"/>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167</v>
      </c>
      <c r="BX76" s="95">
        <f>BL64</f>
        <v>0</v>
      </c>
    </row>
    <row r="77" spans="1:76" s="25" customFormat="1" ht="15.75" x14ac:dyDescent="0.45">
      <c r="B77" s="264">
        <v>12</v>
      </c>
      <c r="C77" s="119" t="str">
        <f t="shared" si="12"/>
        <v/>
      </c>
      <c r="D77" s="208" t="str">
        <f t="shared" si="43"/>
        <v/>
      </c>
      <c r="E77" s="166" t="str">
        <f t="shared" si="13"/>
        <v/>
      </c>
      <c r="F77" s="671"/>
      <c r="G77" s="672"/>
      <c r="H77" s="163" t="str">
        <f t="shared" si="14"/>
        <v/>
      </c>
      <c r="I77" s="320" t="str">
        <f t="shared" si="44"/>
        <v/>
      </c>
      <c r="J77" s="866" t="str">
        <f>IFERROR(IF(F77="","",VLOOKUP(F77,'10. Condition and Temporal'!$B$6:$F$103,5,FALSE)), "Error ▲")</f>
        <v/>
      </c>
      <c r="K77" s="867"/>
      <c r="L77" s="283" t="str">
        <f t="shared" si="45"/>
        <v/>
      </c>
      <c r="M77" s="711" t="str">
        <f t="shared" si="46"/>
        <v/>
      </c>
      <c r="N77" s="865"/>
      <c r="O77" s="74"/>
      <c r="P77" s="12"/>
      <c r="R77" s="653"/>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168</v>
      </c>
      <c r="BX77" s="95">
        <f>BM64</f>
        <v>0</v>
      </c>
    </row>
    <row r="78" spans="1:76" s="25" customFormat="1" ht="15.75" x14ac:dyDescent="0.45">
      <c r="B78" s="264">
        <v>13</v>
      </c>
      <c r="C78" s="119" t="str">
        <f t="shared" si="12"/>
        <v/>
      </c>
      <c r="D78" s="208" t="str">
        <f t="shared" si="43"/>
        <v/>
      </c>
      <c r="E78" s="166" t="str">
        <f t="shared" si="13"/>
        <v/>
      </c>
      <c r="F78" s="671"/>
      <c r="G78" s="672"/>
      <c r="H78" s="163" t="str">
        <f t="shared" si="14"/>
        <v/>
      </c>
      <c r="I78" s="320" t="str">
        <f t="shared" si="44"/>
        <v/>
      </c>
      <c r="J78" s="866" t="str">
        <f>IFERROR(IF(F78="","",VLOOKUP(F78,'10. Condition and Temporal'!$B$6:$F$103,5,FALSE)), "Error ▲")</f>
        <v/>
      </c>
      <c r="K78" s="867"/>
      <c r="L78" s="283" t="str">
        <f>IFERROR(IF(D78="","",IF(AX78="Distinctiveness",(((((I78*AH78*AJ78)-(I78*V78*X78))*(AV78*AT78))+(I78*V78*X78))*AP78/1000),((((I78*AH78*AJ78)-(I78*V78*X78))*(AV78*AR78))+(I78*V78*X78))*AP78/1000)),"This intervention is not permitted within the SSM ▲")</f>
        <v/>
      </c>
      <c r="M78" s="711" t="str">
        <f t="shared" si="46"/>
        <v/>
      </c>
      <c r="N78" s="865"/>
      <c r="O78" s="74"/>
      <c r="P78" s="12"/>
      <c r="R78" s="653"/>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169</v>
      </c>
      <c r="BX78" s="95">
        <f>BN64</f>
        <v>0</v>
      </c>
    </row>
    <row r="79" spans="1:76" s="25" customFormat="1" ht="15.75" x14ac:dyDescent="0.45">
      <c r="B79" s="264">
        <v>14</v>
      </c>
      <c r="C79" s="119" t="str">
        <f t="shared" si="12"/>
        <v/>
      </c>
      <c r="D79" s="208" t="str">
        <f t="shared" si="43"/>
        <v/>
      </c>
      <c r="E79" s="166" t="str">
        <f t="shared" si="13"/>
        <v/>
      </c>
      <c r="F79" s="671"/>
      <c r="G79" s="672"/>
      <c r="H79" s="163" t="str">
        <f t="shared" si="14"/>
        <v/>
      </c>
      <c r="I79" s="320" t="str">
        <f t="shared" si="44"/>
        <v/>
      </c>
      <c r="J79" s="866" t="str">
        <f>IFERROR(IF(F79="","",VLOOKUP(F79,'10. Condition and Temporal'!$B$6:$F$103,5,FALSE)), "Error ▲")</f>
        <v/>
      </c>
      <c r="K79" s="867"/>
      <c r="L79" s="283" t="str">
        <f t="shared" si="45"/>
        <v/>
      </c>
      <c r="M79" s="711" t="str">
        <f t="shared" si="46"/>
        <v/>
      </c>
      <c r="N79" s="865"/>
      <c r="O79" s="74"/>
      <c r="P79" s="12"/>
      <c r="R79" s="653"/>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170</v>
      </c>
      <c r="BX79" s="95">
        <f>BO64</f>
        <v>0</v>
      </c>
    </row>
    <row r="80" spans="1:76" s="25" customFormat="1" ht="15.75" x14ac:dyDescent="0.45">
      <c r="B80" s="264">
        <v>15</v>
      </c>
      <c r="C80" s="119" t="str">
        <f t="shared" si="12"/>
        <v/>
      </c>
      <c r="D80" s="208" t="str">
        <f t="shared" si="43"/>
        <v/>
      </c>
      <c r="E80" s="166" t="str">
        <f t="shared" si="13"/>
        <v/>
      </c>
      <c r="F80" s="671"/>
      <c r="G80" s="672"/>
      <c r="H80" s="163" t="str">
        <f t="shared" si="14"/>
        <v/>
      </c>
      <c r="I80" s="320" t="str">
        <f t="shared" si="44"/>
        <v/>
      </c>
      <c r="J80" s="866" t="str">
        <f>IFERROR(IF(F80="","",VLOOKUP(F80,'10. Condition and Temporal'!$B$6:$F$103,5,FALSE)), "Error ▲")</f>
        <v/>
      </c>
      <c r="K80" s="867"/>
      <c r="L80" s="283" t="str">
        <f t="shared" si="45"/>
        <v/>
      </c>
      <c r="M80" s="711" t="str">
        <f t="shared" si="46"/>
        <v/>
      </c>
      <c r="N80" s="865"/>
      <c r="O80" s="74"/>
      <c r="P80" s="12"/>
      <c r="R80" s="653"/>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171</v>
      </c>
      <c r="BX80" s="95">
        <f>BP64</f>
        <v>0</v>
      </c>
    </row>
    <row r="81" spans="1:76" s="25" customFormat="1" ht="15.75" x14ac:dyDescent="0.45">
      <c r="B81" s="264">
        <v>16</v>
      </c>
      <c r="C81" s="119" t="str">
        <f t="shared" si="12"/>
        <v/>
      </c>
      <c r="D81" s="208" t="str">
        <f t="shared" si="43"/>
        <v/>
      </c>
      <c r="E81" s="166" t="str">
        <f t="shared" si="13"/>
        <v/>
      </c>
      <c r="F81" s="671"/>
      <c r="G81" s="672"/>
      <c r="H81" s="163" t="str">
        <f t="shared" si="14"/>
        <v/>
      </c>
      <c r="I81" s="320" t="str">
        <f t="shared" si="44"/>
        <v/>
      </c>
      <c r="J81" s="866" t="str">
        <f>IFERROR(IF(F81="","",VLOOKUP(F81,'10. Condition and Temporal'!$B$6:$F$103,5,FALSE)), "Error ▲")</f>
        <v/>
      </c>
      <c r="K81" s="867"/>
      <c r="L81" s="283" t="str">
        <f t="shared" si="45"/>
        <v/>
      </c>
      <c r="M81" s="711" t="str">
        <f t="shared" si="46"/>
        <v/>
      </c>
      <c r="N81" s="865"/>
      <c r="O81" s="74"/>
      <c r="P81" s="12"/>
      <c r="R81" s="653"/>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172</v>
      </c>
      <c r="BX81" s="95">
        <f>BQ64</f>
        <v>0</v>
      </c>
    </row>
    <row r="82" spans="1:76" s="25" customFormat="1" ht="15.75" x14ac:dyDescent="0.45">
      <c r="B82" s="264">
        <v>17</v>
      </c>
      <c r="C82" s="119" t="str">
        <f t="shared" si="12"/>
        <v/>
      </c>
      <c r="D82" s="208" t="str">
        <f t="shared" si="43"/>
        <v/>
      </c>
      <c r="E82" s="166" t="str">
        <f t="shared" si="13"/>
        <v/>
      </c>
      <c r="F82" s="671"/>
      <c r="G82" s="672"/>
      <c r="H82" s="163" t="str">
        <f t="shared" si="14"/>
        <v/>
      </c>
      <c r="I82" s="320" t="str">
        <f t="shared" si="44"/>
        <v/>
      </c>
      <c r="J82" s="866" t="str">
        <f>IFERROR(IF(F82="","",VLOOKUP(F82,'10. Condition and Temporal'!$B$6:$F$103,5,FALSE)), "Error ▲")</f>
        <v/>
      </c>
      <c r="K82" s="867"/>
      <c r="L82" s="283" t="str">
        <f t="shared" si="45"/>
        <v/>
      </c>
      <c r="M82" s="711" t="str">
        <f t="shared" si="46"/>
        <v/>
      </c>
      <c r="N82" s="865"/>
      <c r="O82" s="74"/>
      <c r="P82" s="12"/>
      <c r="R82" s="653"/>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173</v>
      </c>
      <c r="BX82" s="95">
        <f>BR64</f>
        <v>0</v>
      </c>
    </row>
    <row r="83" spans="1:76" s="25" customFormat="1" ht="15.75" x14ac:dyDescent="0.45">
      <c r="B83" s="264">
        <v>18</v>
      </c>
      <c r="C83" s="119" t="str">
        <f t="shared" si="12"/>
        <v/>
      </c>
      <c r="D83" s="208" t="str">
        <f t="shared" si="43"/>
        <v/>
      </c>
      <c r="E83" s="166" t="str">
        <f t="shared" si="13"/>
        <v/>
      </c>
      <c r="F83" s="671"/>
      <c r="G83" s="672"/>
      <c r="H83" s="163" t="str">
        <f t="shared" si="14"/>
        <v/>
      </c>
      <c r="I83" s="320" t="str">
        <f t="shared" si="44"/>
        <v/>
      </c>
      <c r="J83" s="866" t="str">
        <f>IFERROR(IF(F83="","",VLOOKUP(F83,'10. Condition and Temporal'!$B$6:$F$103,5,FALSE)), "Error ▲")</f>
        <v/>
      </c>
      <c r="K83" s="867"/>
      <c r="L83" s="283" t="str">
        <f t="shared" si="45"/>
        <v/>
      </c>
      <c r="M83" s="711" t="str">
        <f t="shared" si="46"/>
        <v/>
      </c>
      <c r="N83" s="865"/>
      <c r="O83" s="74"/>
      <c r="P83" s="12"/>
      <c r="R83" s="653"/>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174</v>
      </c>
      <c r="BX83" s="95">
        <f>BS64</f>
        <v>0</v>
      </c>
    </row>
    <row r="84" spans="1:76" s="25" customFormat="1" ht="15.75" x14ac:dyDescent="0.45">
      <c r="B84" s="264">
        <v>19</v>
      </c>
      <c r="C84" s="119" t="str">
        <f t="shared" si="12"/>
        <v/>
      </c>
      <c r="D84" s="208" t="str">
        <f t="shared" si="43"/>
        <v/>
      </c>
      <c r="E84" s="166" t="str">
        <f t="shared" si="13"/>
        <v/>
      </c>
      <c r="F84" s="671"/>
      <c r="G84" s="672"/>
      <c r="H84" s="163" t="str">
        <f t="shared" si="14"/>
        <v/>
      </c>
      <c r="I84" s="320" t="str">
        <f t="shared" si="44"/>
        <v/>
      </c>
      <c r="J84" s="866" t="str">
        <f>IFERROR(IF(F84="","",VLOOKUP(F84,'10. Condition and Temporal'!$B$6:$F$103,5,FALSE)), "Error ▲")</f>
        <v/>
      </c>
      <c r="K84" s="867"/>
      <c r="L84" s="283" t="str">
        <f t="shared" si="45"/>
        <v/>
      </c>
      <c r="M84" s="711" t="str">
        <f t="shared" si="46"/>
        <v/>
      </c>
      <c r="N84" s="865"/>
      <c r="O84" s="74"/>
      <c r="P84" s="12"/>
      <c r="R84" s="653"/>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175</v>
      </c>
      <c r="BX84" s="95">
        <f>BT64</f>
        <v>0</v>
      </c>
    </row>
    <row r="85" spans="1:76" s="25" customFormat="1" ht="16.149999999999999" thickBot="1" x14ac:dyDescent="0.5">
      <c r="B85" s="265">
        <v>20</v>
      </c>
      <c r="C85" s="138" t="str">
        <f t="shared" si="12"/>
        <v/>
      </c>
      <c r="D85" s="420" t="str">
        <f t="shared" si="43"/>
        <v/>
      </c>
      <c r="E85" s="167" t="str">
        <f t="shared" si="13"/>
        <v/>
      </c>
      <c r="F85" s="675"/>
      <c r="G85" s="676"/>
      <c r="H85" s="164" t="str">
        <f t="shared" si="14"/>
        <v/>
      </c>
      <c r="I85" s="421" t="str">
        <f t="shared" si="44"/>
        <v/>
      </c>
      <c r="J85" s="876" t="str">
        <f>IFERROR(IF(F85="","",VLOOKUP(F85,'10. Condition and Temporal'!$B$6:$F$103,5,FALSE)), "Error ▲")</f>
        <v/>
      </c>
      <c r="K85" s="877"/>
      <c r="L85" s="422" t="str">
        <f t="shared" si="45"/>
        <v/>
      </c>
      <c r="M85" s="881" t="str">
        <f t="shared" si="46"/>
        <v/>
      </c>
      <c r="N85" s="864"/>
      <c r="O85" s="75"/>
      <c r="P85" s="14"/>
      <c r="R85" s="653"/>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176</v>
      </c>
      <c r="BX85" s="95">
        <f>BU64</f>
        <v>0</v>
      </c>
    </row>
    <row r="86" spans="1:76" s="25" customFormat="1" ht="14.65" thickBot="1" x14ac:dyDescent="0.5">
      <c r="H86" s="268" t="s">
        <v>227</v>
      </c>
      <c r="I86" s="322">
        <f>SUM(I66:I85)</f>
        <v>0</v>
      </c>
      <c r="J86" s="414"/>
      <c r="L86" s="391">
        <f>SUM(L66:L85)</f>
        <v>0</v>
      </c>
      <c r="M86" s="863">
        <f>SUM(M66:N85)</f>
        <v>0</v>
      </c>
      <c r="N86" s="864"/>
      <c r="R86" s="653"/>
    </row>
    <row r="87" spans="1:76" s="25" customFormat="1" x14ac:dyDescent="0.45">
      <c r="C87" s="26"/>
      <c r="R87" s="653"/>
    </row>
    <row r="88" spans="1:76" s="25" customFormat="1" x14ac:dyDescent="0.45">
      <c r="R88" s="653"/>
    </row>
    <row r="89" spans="1:76" s="25" customFormat="1" ht="19.149999999999999" customHeight="1" x14ac:dyDescent="0.45">
      <c r="R89" s="653"/>
    </row>
    <row r="90" spans="1:76" s="25" customFormat="1" x14ac:dyDescent="0.45">
      <c r="R90" s="653"/>
    </row>
    <row r="91" spans="1:76" s="25" customFormat="1" x14ac:dyDescent="0.45">
      <c r="A91" s="731" t="s">
        <v>191</v>
      </c>
      <c r="B91" s="731"/>
      <c r="C91" s="731"/>
      <c r="D91" s="731"/>
      <c r="E91" s="731"/>
      <c r="F91" s="731"/>
      <c r="G91" s="731"/>
      <c r="H91" s="731"/>
      <c r="I91" s="731"/>
      <c r="J91" s="731"/>
      <c r="K91" s="731"/>
      <c r="L91" s="731"/>
      <c r="M91" s="731"/>
      <c r="N91" s="731"/>
      <c r="O91" s="731"/>
      <c r="P91" s="731"/>
      <c r="Q91" s="731"/>
      <c r="R91" s="653"/>
    </row>
    <row r="92" spans="1:76" s="25" customFormat="1" x14ac:dyDescent="0.45">
      <c r="A92" s="731"/>
      <c r="B92" s="731"/>
      <c r="C92" s="731"/>
      <c r="D92" s="731"/>
      <c r="E92" s="731"/>
      <c r="F92" s="731"/>
      <c r="G92" s="731"/>
      <c r="H92" s="731"/>
      <c r="I92" s="731"/>
      <c r="J92" s="731"/>
      <c r="K92" s="731"/>
      <c r="L92" s="731"/>
      <c r="M92" s="731"/>
      <c r="N92" s="731"/>
      <c r="O92" s="731"/>
      <c r="P92" s="731"/>
      <c r="Q92" s="731"/>
      <c r="R92" s="653"/>
    </row>
    <row r="93" spans="1:76" s="25" customFormat="1" x14ac:dyDescent="0.45">
      <c r="A93" s="731"/>
      <c r="B93" s="731"/>
      <c r="C93" s="731"/>
      <c r="D93" s="731"/>
      <c r="E93" s="731"/>
      <c r="F93" s="731"/>
      <c r="G93" s="731"/>
      <c r="H93" s="731"/>
      <c r="I93" s="731"/>
      <c r="J93" s="731"/>
      <c r="K93" s="731"/>
      <c r="L93" s="731"/>
      <c r="M93" s="731"/>
      <c r="N93" s="731"/>
      <c r="O93" s="731"/>
      <c r="P93" s="731"/>
      <c r="Q93" s="731"/>
      <c r="R93" s="653"/>
    </row>
    <row r="94" spans="1:76" s="25" customFormat="1" x14ac:dyDescent="0.45">
      <c r="R94" s="653"/>
    </row>
    <row r="95" spans="1:76" s="25" customFormat="1" ht="21" x14ac:dyDescent="0.65">
      <c r="B95" s="57" t="s">
        <v>192</v>
      </c>
      <c r="D95" s="26"/>
      <c r="E95" s="26"/>
      <c r="F95" s="26"/>
      <c r="G95" s="26"/>
      <c r="R95" s="653"/>
    </row>
    <row r="96" spans="1:76" s="25" customFormat="1" ht="14.65" thickBot="1" x14ac:dyDescent="0.5">
      <c r="R96" s="653"/>
    </row>
    <row r="97" spans="2:18" s="25" customFormat="1" ht="36.75" customHeight="1" thickBot="1" x14ac:dyDescent="0.5">
      <c r="B97" s="871" t="s">
        <v>232</v>
      </c>
      <c r="C97" s="872"/>
      <c r="D97" s="873"/>
      <c r="E97" s="874" t="str" cm="1">
        <f t="array" aca="1" ref="E97" ca="1">IF(OR(H103:H113="No ▲"),"Error - Trading Rules Not Satisfied ▲","Trading Rules Satisfied ✓")</f>
        <v>Trading Rules Satisfied ✓</v>
      </c>
      <c r="F97" s="874"/>
      <c r="G97" s="874"/>
      <c r="H97" s="874"/>
      <c r="I97" s="875"/>
      <c r="J97" s="157">
        <f ca="1">IFERROR(FIND("Error",E97),0)</f>
        <v>0</v>
      </c>
      <c r="R97" s="653"/>
    </row>
    <row r="98" spans="2:18" s="25" customFormat="1" x14ac:dyDescent="0.45">
      <c r="R98" s="653"/>
    </row>
    <row r="99" spans="2:18" s="25" customFormat="1" ht="21" x14ac:dyDescent="0.65">
      <c r="B99" s="57" t="s">
        <v>195</v>
      </c>
      <c r="R99" s="653"/>
    </row>
    <row r="100" spans="2:18" s="25" customFormat="1" x14ac:dyDescent="0.45">
      <c r="R100" s="653"/>
    </row>
    <row r="101" spans="2:18" s="25" customFormat="1" ht="14.65" thickBot="1" x14ac:dyDescent="0.5">
      <c r="R101" s="653"/>
    </row>
    <row r="102" spans="2:18" s="25" customFormat="1" ht="51" customHeight="1" thickBot="1" x14ac:dyDescent="0.5">
      <c r="B102" s="456" t="s">
        <v>133</v>
      </c>
      <c r="C102" s="451" t="s">
        <v>85</v>
      </c>
      <c r="D102" s="451" t="s">
        <v>50</v>
      </c>
      <c r="E102" s="451" t="s">
        <v>198</v>
      </c>
      <c r="F102" s="451" t="s">
        <v>199</v>
      </c>
      <c r="G102" s="451" t="s">
        <v>200</v>
      </c>
      <c r="H102" s="441" t="s">
        <v>201</v>
      </c>
      <c r="I102" s="430"/>
      <c r="R102" s="653"/>
    </row>
    <row r="103" spans="2:18" s="25" customFormat="1" ht="30.75" customHeight="1" x14ac:dyDescent="0.45">
      <c r="B103" s="918" t="s">
        <v>226</v>
      </c>
      <c r="C103" s="921" t="s">
        <v>205</v>
      </c>
      <c r="D103" s="452" t="s">
        <v>233</v>
      </c>
      <c r="E103" s="453">
        <f ca="1">SUMIF($D$11:$E$30,D103,$L$11:$L$30)</f>
        <v>0</v>
      </c>
      <c r="F103" s="453">
        <f>IF($I$31+$I$59+$I$86=0,0,SUMIF($D$39:$D$58,D103,$L$39:$N$58)+SUMIF($F$66:$G$85,D103,$L$66:$L$85)+SUMIF($D$11:$E$30,D103,$AE$11:$AE$30))</f>
        <v>0</v>
      </c>
      <c r="G103" s="453">
        <f ca="1">$F$103-$E$103</f>
        <v>0</v>
      </c>
      <c r="H103" s="855" t="str">
        <f ca="1">IF(G108&gt;=0, "Yes ✓", "No ▲")</f>
        <v>Yes ✓</v>
      </c>
      <c r="I103" s="430"/>
      <c r="R103" s="653"/>
    </row>
    <row r="104" spans="2:18" s="25" customFormat="1" ht="30.75" customHeight="1" x14ac:dyDescent="0.45">
      <c r="B104" s="919"/>
      <c r="C104" s="922"/>
      <c r="D104" s="432" t="s">
        <v>234</v>
      </c>
      <c r="E104" s="433">
        <f t="shared" ref="E104:E113" ca="1" si="51">SUMIF($D$11:$E$30,D104,$L$11:$L$30)</f>
        <v>0</v>
      </c>
      <c r="F104" s="433">
        <f t="shared" ref="F104:F113" si="52">IF($I$31+$I$59+$I$86=0,0,SUMIF($D$39:$D$58,D104,$L$39:$N$58)+SUMIF($F$66:$G$85,D104,$L$66:$L$85)+SUMIF($D$11:$E$30,D104,$AE$11:$AE$30))</f>
        <v>0</v>
      </c>
      <c r="G104" s="433">
        <f ca="1">$F$104-$E$104</f>
        <v>0</v>
      </c>
      <c r="H104" s="856"/>
      <c r="I104" s="430"/>
      <c r="R104" s="653"/>
    </row>
    <row r="105" spans="2:18" s="25" customFormat="1" ht="30.75" customHeight="1" x14ac:dyDescent="0.45">
      <c r="B105" s="919"/>
      <c r="C105" s="922"/>
      <c r="D105" s="432" t="s">
        <v>235</v>
      </c>
      <c r="E105" s="433">
        <f t="shared" ca="1" si="51"/>
        <v>0</v>
      </c>
      <c r="F105" s="433">
        <f t="shared" si="52"/>
        <v>0</v>
      </c>
      <c r="G105" s="433">
        <f ca="1">$F$105-$E$105</f>
        <v>0</v>
      </c>
      <c r="H105" s="856"/>
      <c r="I105" s="430"/>
      <c r="R105" s="653"/>
    </row>
    <row r="106" spans="2:18" s="25" customFormat="1" ht="30.75" customHeight="1" x14ac:dyDescent="0.45">
      <c r="B106" s="919"/>
      <c r="C106" s="922"/>
      <c r="D106" s="432" t="s">
        <v>236</v>
      </c>
      <c r="E106" s="433">
        <f t="shared" ca="1" si="51"/>
        <v>0</v>
      </c>
      <c r="F106" s="433">
        <f t="shared" si="52"/>
        <v>0</v>
      </c>
      <c r="G106" s="433">
        <f ca="1">$F$106-$E$106</f>
        <v>0</v>
      </c>
      <c r="H106" s="856"/>
      <c r="I106" s="430"/>
      <c r="R106" s="653"/>
    </row>
    <row r="107" spans="2:18" s="25" customFormat="1" ht="30.75" customHeight="1" x14ac:dyDescent="0.45">
      <c r="B107" s="919"/>
      <c r="C107" s="922"/>
      <c r="D107" s="432" t="s">
        <v>237</v>
      </c>
      <c r="E107" s="433">
        <f t="shared" ca="1" si="51"/>
        <v>0</v>
      </c>
      <c r="F107" s="433">
        <f t="shared" si="52"/>
        <v>0</v>
      </c>
      <c r="G107" s="433">
        <f ca="1">$F$107-$E$107</f>
        <v>0</v>
      </c>
      <c r="H107" s="856"/>
      <c r="I107" s="157"/>
      <c r="R107" s="653"/>
    </row>
    <row r="108" spans="2:18" s="25" customFormat="1" ht="30.75" customHeight="1" thickBot="1" x14ac:dyDescent="0.5">
      <c r="B108" s="919"/>
      <c r="C108" s="923"/>
      <c r="D108" s="444" t="s">
        <v>238</v>
      </c>
      <c r="E108" s="445">
        <f ca="1">SUM($E$103:$E$107)</f>
        <v>0</v>
      </c>
      <c r="F108" s="445">
        <f>SUM($F$103:$F$107)</f>
        <v>0</v>
      </c>
      <c r="G108" s="445">
        <f ca="1">SUM($G$103:$G$107)</f>
        <v>0</v>
      </c>
      <c r="H108" s="857"/>
      <c r="I108" s="157">
        <f ca="1">IF($H$103="No ▲",1,0)</f>
        <v>0</v>
      </c>
      <c r="R108" s="653"/>
    </row>
    <row r="109" spans="2:18" s="25" customFormat="1" ht="30.75" customHeight="1" x14ac:dyDescent="0.45">
      <c r="B109" s="919"/>
      <c r="C109" s="921" t="s">
        <v>203</v>
      </c>
      <c r="D109" s="452" t="s">
        <v>239</v>
      </c>
      <c r="E109" s="453">
        <f t="shared" ca="1" si="51"/>
        <v>0</v>
      </c>
      <c r="F109" s="453">
        <f t="shared" si="52"/>
        <v>0</v>
      </c>
      <c r="G109" s="453">
        <f ca="1">$F$109-$E$109</f>
        <v>0</v>
      </c>
      <c r="H109" s="855" t="str">
        <f ca="1">IF(G112&gt;=0,"Yes ✓",IF(E114&gt;=0,"Yes ✓","No ▲"))</f>
        <v>Yes ✓</v>
      </c>
      <c r="I109" s="157"/>
      <c r="R109" s="653"/>
    </row>
    <row r="110" spans="2:18" s="25" customFormat="1" ht="30.75" customHeight="1" x14ac:dyDescent="0.45">
      <c r="B110" s="919"/>
      <c r="C110" s="922"/>
      <c r="D110" s="432" t="s">
        <v>240</v>
      </c>
      <c r="E110" s="433">
        <f t="shared" ca="1" si="51"/>
        <v>0</v>
      </c>
      <c r="F110" s="433">
        <f t="shared" si="52"/>
        <v>0</v>
      </c>
      <c r="G110" s="433">
        <f ca="1">$F$110-$E$110</f>
        <v>0</v>
      </c>
      <c r="H110" s="856"/>
      <c r="I110" s="157"/>
      <c r="R110" s="653"/>
    </row>
    <row r="111" spans="2:18" s="25" customFormat="1" ht="30.75" customHeight="1" x14ac:dyDescent="0.45">
      <c r="B111" s="919"/>
      <c r="C111" s="922"/>
      <c r="D111" s="432" t="s">
        <v>241</v>
      </c>
      <c r="E111" s="433">
        <f t="shared" ca="1" si="51"/>
        <v>0</v>
      </c>
      <c r="F111" s="433">
        <f t="shared" si="52"/>
        <v>0</v>
      </c>
      <c r="G111" s="433">
        <f ca="1">$F$111-$E$111</f>
        <v>0</v>
      </c>
      <c r="H111" s="856"/>
      <c r="I111" s="157"/>
      <c r="R111" s="653"/>
    </row>
    <row r="112" spans="2:18" s="25" customFormat="1" ht="30.75" customHeight="1" thickBot="1" x14ac:dyDescent="0.5">
      <c r="B112" s="919"/>
      <c r="C112" s="923"/>
      <c r="D112" s="444" t="s">
        <v>238</v>
      </c>
      <c r="E112" s="445">
        <f ca="1">SUM($E$109:$E$111)</f>
        <v>0</v>
      </c>
      <c r="F112" s="445">
        <f>SUM($F$109:$F$111)</f>
        <v>0</v>
      </c>
      <c r="G112" s="445">
        <f ca="1">SUM($G$109:$G$111)</f>
        <v>0</v>
      </c>
      <c r="H112" s="857"/>
      <c r="I112" s="157">
        <f ca="1">IF($H$109="No ▲",1,0)</f>
        <v>0</v>
      </c>
      <c r="R112" s="653"/>
    </row>
    <row r="113" spans="2:18" s="25" customFormat="1" ht="30.75" customHeight="1" thickBot="1" x14ac:dyDescent="0.5">
      <c r="B113" s="920"/>
      <c r="C113" s="446" t="s">
        <v>242</v>
      </c>
      <c r="D113" s="454" t="s">
        <v>243</v>
      </c>
      <c r="E113" s="455">
        <f t="shared" ca="1" si="51"/>
        <v>0</v>
      </c>
      <c r="F113" s="455">
        <f t="shared" si="52"/>
        <v>0</v>
      </c>
      <c r="G113" s="455">
        <f ca="1">$F$113-$E$113</f>
        <v>0</v>
      </c>
      <c r="H113" s="449" t="str">
        <f ca="1">IF(G113&gt;=0,"Yes✓",IF(F114&gt;=0,"Yes ✓","No ▲"))</f>
        <v>Yes✓</v>
      </c>
      <c r="I113" s="157">
        <f ca="1">IF($H$113="No ▲",1,0)</f>
        <v>0</v>
      </c>
      <c r="R113" s="653"/>
    </row>
    <row r="114" spans="2:18" s="25" customFormat="1" ht="14.65" thickBot="1" x14ac:dyDescent="0.5">
      <c r="E114" s="457">
        <f ca="1">G108+G112</f>
        <v>0</v>
      </c>
      <c r="F114" s="434">
        <f ca="1">IF(G108&lt;0,0,($G$108+$G$112+$G$113))</f>
        <v>0</v>
      </c>
      <c r="I114" s="430"/>
      <c r="R114" s="653"/>
    </row>
    <row r="115" spans="2:18" s="25" customFormat="1" ht="24.75" customHeight="1" x14ac:dyDescent="0.45">
      <c r="B115" s="924" t="s">
        <v>244</v>
      </c>
      <c r="C115" s="637"/>
      <c r="D115" s="637"/>
      <c r="E115" s="637"/>
      <c r="F115" s="437">
        <f ca="1">$G$108</f>
        <v>0</v>
      </c>
      <c r="G115" s="434">
        <f ca="1">IF($G$108&lt;=0,0,($G$108+$G$112))</f>
        <v>0</v>
      </c>
      <c r="I115" s="430"/>
      <c r="R115" s="653"/>
    </row>
    <row r="116" spans="2:18" s="25" customFormat="1" ht="21.75" customHeight="1" x14ac:dyDescent="0.45">
      <c r="B116" s="915" t="s">
        <v>245</v>
      </c>
      <c r="C116" s="916"/>
      <c r="D116" s="916"/>
      <c r="E116" s="916"/>
      <c r="F116" s="439">
        <f ca="1">IF($G$108&gt;0,($G$112+$G$108),$G$112)</f>
        <v>0</v>
      </c>
      <c r="G116" s="434">
        <f ca="1">IF($G$108&lt;=0,0,($G$108+$G$112+$G$113))</f>
        <v>0</v>
      </c>
      <c r="R116" s="653"/>
    </row>
    <row r="117" spans="2:18" s="25" customFormat="1" ht="24" customHeight="1" thickBot="1" x14ac:dyDescent="0.5">
      <c r="B117" s="917" t="s">
        <v>246</v>
      </c>
      <c r="C117" s="635"/>
      <c r="D117" s="635"/>
      <c r="E117" s="635"/>
      <c r="F117" s="438">
        <f ca="1">IF($F$116&gt;0,($F$116+$G$113),$G$113)</f>
        <v>0</v>
      </c>
      <c r="G117" s="434"/>
      <c r="R117" s="653"/>
    </row>
    <row r="118" spans="2:18" s="25" customFormat="1" x14ac:dyDescent="0.45">
      <c r="G118" s="434"/>
      <c r="R118" s="653"/>
    </row>
    <row r="119" spans="2:18" s="25" customFormat="1" x14ac:dyDescent="0.45">
      <c r="R119" s="653"/>
    </row>
    <row r="120" spans="2:18" s="25" customFormat="1" x14ac:dyDescent="0.45">
      <c r="R120" s="653"/>
    </row>
    <row r="121" spans="2:18" s="25" customFormat="1" x14ac:dyDescent="0.45">
      <c r="R121" s="653"/>
    </row>
    <row r="122" spans="2:18" s="25" customFormat="1" x14ac:dyDescent="0.45">
      <c r="R122" s="653"/>
    </row>
    <row r="123" spans="2:18" s="25" customFormat="1" x14ac:dyDescent="0.45">
      <c r="R123" s="653"/>
    </row>
    <row r="124" spans="2:18" s="25" customFormat="1" x14ac:dyDescent="0.45">
      <c r="R124" s="653"/>
    </row>
    <row r="125" spans="2:18" s="25" customFormat="1" x14ac:dyDescent="0.45">
      <c r="R125" s="653"/>
    </row>
    <row r="126" spans="2:18" s="25" customFormat="1" x14ac:dyDescent="0.45">
      <c r="R126" s="653"/>
    </row>
    <row r="127" spans="2:18" s="25" customFormat="1" x14ac:dyDescent="0.45">
      <c r="R127" s="653"/>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25" zeroHeight="1" x14ac:dyDescent="0.45"/>
  <cols>
    <col min="1" max="1" width="4.59765625" customWidth="1"/>
    <col min="2" max="2" width="14.86328125" customWidth="1"/>
    <col min="3" max="3" width="24.3984375" customWidth="1"/>
    <col min="4" max="4" width="40.1328125" customWidth="1"/>
    <col min="5" max="5" width="27" customWidth="1"/>
    <col min="6" max="6" width="20.59765625" customWidth="1"/>
    <col min="7" max="7" width="33.1328125" customWidth="1"/>
    <col min="8" max="8" width="35.1328125" customWidth="1"/>
    <col min="9" max="9" width="14.59765625" customWidth="1"/>
    <col min="10" max="10" width="12.73046875" customWidth="1"/>
    <col min="11" max="11" width="11.3984375" customWidth="1"/>
    <col min="12" max="12" width="13" customWidth="1"/>
    <col min="13" max="14" width="11.3984375" customWidth="1"/>
    <col min="15" max="16" width="27" customWidth="1"/>
    <col min="17" max="18" width="11.3984375" customWidth="1"/>
    <col min="19" max="19" width="7.1328125" customWidth="1"/>
    <col min="20" max="20" width="14.3984375" customWidth="1"/>
    <col min="21" max="21" width="14.86328125" customWidth="1"/>
    <col min="22" max="22" width="20.73046875" bestFit="1" customWidth="1"/>
    <col min="23" max="23" width="23.73046875" customWidth="1"/>
    <col min="24" max="24" width="16.86328125" bestFit="1" customWidth="1"/>
    <col min="25" max="25" width="14" hidden="1" customWidth="1"/>
    <col min="26" max="26" width="21.265625" hidden="1" customWidth="1"/>
    <col min="27" max="27" width="14" hidden="1" customWidth="1"/>
    <col min="28" max="28" width="33.73046875" customWidth="1"/>
    <col min="29" max="30" width="32.73046875" customWidth="1"/>
    <col min="31" max="31" width="18.73046875" customWidth="1"/>
    <col min="32" max="32" width="23.73046875" customWidth="1"/>
    <col min="33" max="33" width="16.73046875" customWidth="1"/>
    <col min="34" max="34" width="35.73046875" customWidth="1"/>
    <col min="35" max="35" width="76.265625" customWidth="1"/>
    <col min="36" max="36" width="23.59765625" style="469" customWidth="1"/>
    <col min="37" max="37" width="4.3984375" style="469" hidden="1" customWidth="1"/>
    <col min="38" max="38" width="5.265625" style="469" hidden="1" customWidth="1"/>
    <col min="39" max="39" width="6.73046875" style="469" hidden="1" customWidth="1"/>
    <col min="40" max="40" width="12.265625" style="469" customWidth="1"/>
    <col min="41" max="41" width="34.1328125" bestFit="1" customWidth="1"/>
    <col min="42" max="42" width="19.73046875" bestFit="1" customWidth="1"/>
    <col min="43" max="43" width="16.265625" bestFit="1" customWidth="1"/>
    <col min="44" max="47" width="27.265625" customWidth="1"/>
    <col min="48" max="48" width="21.1328125" bestFit="1" customWidth="1"/>
    <col min="49" max="49" width="37.59765625" customWidth="1"/>
    <col min="50" max="50" width="68.265625" customWidth="1"/>
    <col min="51" max="51" width="26.59765625" customWidth="1"/>
    <col min="52" max="52" width="24.3984375" customWidth="1"/>
    <col min="53" max="81" width="8.86328125" customWidth="1"/>
    <col min="82" max="16384" width="8.86328125" hidden="1"/>
  </cols>
  <sheetData>
    <row r="1" spans="1:44" s="25" customFormat="1" ht="15.75" customHeight="1" thickBot="1" x14ac:dyDescent="0.5">
      <c r="I1" s="52"/>
      <c r="J1" s="52"/>
      <c r="K1" s="52"/>
      <c r="L1" s="52"/>
      <c r="M1" s="52"/>
      <c r="N1" s="52"/>
      <c r="O1" s="154" t="s">
        <v>54</v>
      </c>
      <c r="P1" s="277">
        <f>IFERROR(SUM(AE11:AE30), "Error ▲")</f>
        <v>0</v>
      </c>
      <c r="R1" s="653" t="s">
        <v>55</v>
      </c>
      <c r="T1" s="26"/>
      <c r="AJ1" s="157"/>
      <c r="AK1" s="157"/>
      <c r="AL1" s="157"/>
      <c r="AM1" s="157"/>
      <c r="AN1" s="157"/>
    </row>
    <row r="2" spans="1:44" s="25" customFormat="1" ht="19.899999999999999" customHeight="1" x14ac:dyDescent="0.55000000000000004">
      <c r="B2" s="80" t="s">
        <v>56</v>
      </c>
      <c r="C2" s="827" t="str">
        <f>IF('2. Site Details'!D4="","Enter site name on 2. Site Details",'2. Site Details'!D4)</f>
        <v>McDonalds Molesworth Street</v>
      </c>
      <c r="D2" s="828"/>
      <c r="F2" s="772" t="s">
        <v>247</v>
      </c>
      <c r="G2" s="773"/>
      <c r="H2" s="774"/>
      <c r="I2" s="81"/>
      <c r="J2" s="786" t="str" cm="1">
        <f t="array" aca="1" ref="J2" ca="1">IFERROR(IF(OR((ISNUMBER(SEARCH("▲",A7:Q101)))),"Input Errors Present On Sheet - Red Cells Or ▲ Highlight Errors","All Key Rules Satisfied ✓ "),"Technical Errors On Sheet ▲")</f>
        <v xml:space="preserve">All Key Rules Satisfied ✓ </v>
      </c>
      <c r="K2" s="786"/>
      <c r="L2" s="786"/>
      <c r="M2" s="786"/>
      <c r="N2" s="81"/>
      <c r="O2" s="83" t="s">
        <v>58</v>
      </c>
      <c r="P2" s="277">
        <f>IFERROR(N31, "Error ▲")</f>
        <v>0</v>
      </c>
      <c r="R2" s="653"/>
      <c r="T2" s="26"/>
      <c r="AJ2" s="157"/>
      <c r="AK2" s="157"/>
      <c r="AL2" s="157"/>
      <c r="AM2" s="157"/>
      <c r="AN2" s="157"/>
    </row>
    <row r="3" spans="1:44" s="25" customFormat="1" ht="19.899999999999999" customHeight="1" thickBot="1" x14ac:dyDescent="0.6">
      <c r="B3" s="82" t="s">
        <v>13</v>
      </c>
      <c r="C3" s="829" t="s">
        <v>248</v>
      </c>
      <c r="D3" s="830"/>
      <c r="F3" s="775"/>
      <c r="G3" s="776"/>
      <c r="H3" s="777"/>
      <c r="I3" s="81"/>
      <c r="J3" s="786"/>
      <c r="K3" s="786"/>
      <c r="L3" s="786"/>
      <c r="M3" s="786"/>
      <c r="N3" s="81"/>
      <c r="O3" s="83" t="s">
        <v>60</v>
      </c>
      <c r="P3" s="277">
        <f>IFERROR(L59, "Error ▲")</f>
        <v>0</v>
      </c>
      <c r="R3" s="653"/>
      <c r="T3" s="26"/>
      <c r="AJ3" s="157"/>
      <c r="AK3" s="157"/>
      <c r="AL3" s="157"/>
      <c r="AM3" s="157"/>
      <c r="AN3" s="157"/>
    </row>
    <row r="4" spans="1:44" s="25" customFormat="1" ht="19.899999999999999" customHeight="1" x14ac:dyDescent="0.45">
      <c r="B4" s="84"/>
      <c r="C4" s="84"/>
      <c r="D4" s="84"/>
      <c r="F4" s="775"/>
      <c r="G4" s="776"/>
      <c r="H4" s="777"/>
      <c r="I4" s="81"/>
      <c r="J4" s="786"/>
      <c r="K4" s="786"/>
      <c r="L4" s="786"/>
      <c r="M4" s="786"/>
      <c r="N4" s="81"/>
      <c r="O4" s="83" t="s">
        <v>61</v>
      </c>
      <c r="P4" s="277">
        <f>IFERROR(L86, "Error ▲")</f>
        <v>0</v>
      </c>
      <c r="R4" s="653"/>
      <c r="T4" s="26"/>
      <c r="AJ4" s="157"/>
      <c r="AK4" s="157"/>
      <c r="AL4" s="157"/>
      <c r="AM4" s="157"/>
      <c r="AN4" s="157"/>
    </row>
    <row r="5" spans="1:44" s="25" customFormat="1" ht="19.899999999999999" customHeight="1" thickBot="1" x14ac:dyDescent="0.5">
      <c r="A5" s="85"/>
      <c r="F5" s="775"/>
      <c r="G5" s="776"/>
      <c r="H5" s="777"/>
      <c r="I5" s="81"/>
      <c r="J5" s="786"/>
      <c r="K5" s="786"/>
      <c r="L5" s="786"/>
      <c r="M5" s="786"/>
      <c r="N5" s="81"/>
      <c r="O5" s="86" t="s">
        <v>62</v>
      </c>
      <c r="P5" s="278">
        <f>IFERROR(P1+L59+L86-L31, "Error ▲")</f>
        <v>0</v>
      </c>
      <c r="R5" s="653"/>
      <c r="T5" s="26"/>
      <c r="AJ5" s="157"/>
      <c r="AK5" s="157"/>
      <c r="AL5" s="157"/>
      <c r="AM5" s="157"/>
      <c r="AN5" s="157"/>
    </row>
    <row r="6" spans="1:44" s="25" customFormat="1" ht="13.15" customHeight="1" thickBot="1" x14ac:dyDescent="0.5">
      <c r="A6" s="85"/>
      <c r="F6" s="778"/>
      <c r="G6" s="779"/>
      <c r="H6" s="780"/>
      <c r="I6" s="52"/>
      <c r="J6" s="52"/>
      <c r="K6" s="26"/>
      <c r="L6" s="52"/>
      <c r="M6" s="52"/>
      <c r="N6" s="52"/>
      <c r="O6" s="87"/>
      <c r="P6" s="26"/>
      <c r="R6" s="653"/>
      <c r="T6" s="26"/>
      <c r="AJ6" s="157"/>
      <c r="AK6" s="157"/>
      <c r="AL6" s="157"/>
      <c r="AM6" s="157"/>
      <c r="AN6" s="157"/>
      <c r="AR6" s="157"/>
    </row>
    <row r="7" spans="1:44" s="25" customFormat="1" ht="19.149999999999999" customHeight="1" x14ac:dyDescent="0.7">
      <c r="B7" s="57" t="s">
        <v>63</v>
      </c>
      <c r="D7" s="88"/>
      <c r="H7" s="26"/>
      <c r="K7" s="26"/>
      <c r="L7" s="496"/>
      <c r="M7" s="30"/>
      <c r="N7" s="30"/>
      <c r="R7" s="653"/>
      <c r="T7" s="26"/>
      <c r="AJ7" s="157"/>
      <c r="AK7" s="157"/>
      <c r="AL7" s="157"/>
      <c r="AM7" s="157"/>
      <c r="AN7" s="157"/>
      <c r="AR7" s="157"/>
    </row>
    <row r="8" spans="1:44" s="25" customFormat="1" ht="10.9" customHeight="1" thickBot="1" x14ac:dyDescent="0.5">
      <c r="A8" s="89"/>
      <c r="R8" s="653"/>
      <c r="AJ8" s="157"/>
      <c r="AK8" s="157"/>
      <c r="AL8" s="157"/>
      <c r="AM8" s="157"/>
      <c r="AN8" s="157"/>
      <c r="AR8" s="157"/>
    </row>
    <row r="9" spans="1:44" s="25" customFormat="1" ht="29.65" customHeight="1" thickBot="1" x14ac:dyDescent="0.5">
      <c r="A9" s="89"/>
      <c r="B9" s="735" t="s">
        <v>49</v>
      </c>
      <c r="C9" s="724" t="s">
        <v>64</v>
      </c>
      <c r="D9" s="725"/>
      <c r="E9" s="726"/>
      <c r="F9" s="756" t="s">
        <v>65</v>
      </c>
      <c r="G9" s="757"/>
      <c r="H9" s="758"/>
      <c r="I9" s="724" t="s">
        <v>249</v>
      </c>
      <c r="J9" s="725"/>
      <c r="K9" s="726"/>
      <c r="L9" s="753" t="s">
        <v>67</v>
      </c>
      <c r="M9" s="754"/>
      <c r="N9" s="755"/>
      <c r="O9" s="753" t="s">
        <v>68</v>
      </c>
      <c r="P9" s="755"/>
      <c r="R9" s="653"/>
      <c r="T9" s="681" t="s">
        <v>69</v>
      </c>
      <c r="U9" s="682"/>
      <c r="V9" s="683"/>
      <c r="W9" s="933" t="s">
        <v>70</v>
      </c>
      <c r="X9" s="935"/>
      <c r="Y9" s="763"/>
      <c r="Z9" s="763"/>
      <c r="AA9" s="763"/>
      <c r="AB9" s="933" t="s">
        <v>71</v>
      </c>
      <c r="AC9" s="934"/>
      <c r="AD9" s="935"/>
      <c r="AE9" s="681" t="s">
        <v>72</v>
      </c>
      <c r="AF9" s="682"/>
      <c r="AG9" s="683"/>
      <c r="AH9" s="681" t="s">
        <v>73</v>
      </c>
      <c r="AI9" s="914" t="s">
        <v>74</v>
      </c>
      <c r="AJ9" s="972" t="s">
        <v>250</v>
      </c>
      <c r="AK9" s="157"/>
      <c r="AL9" s="157"/>
      <c r="AM9" s="157"/>
      <c r="AN9" s="431"/>
      <c r="AR9" s="157"/>
    </row>
    <row r="10" spans="1:44" s="25" customFormat="1" ht="31.9" thickBot="1" x14ac:dyDescent="0.5">
      <c r="A10" s="89"/>
      <c r="B10" s="736"/>
      <c r="C10" s="86" t="s">
        <v>75</v>
      </c>
      <c r="D10" s="892" t="s">
        <v>76</v>
      </c>
      <c r="E10" s="893"/>
      <c r="F10" s="979"/>
      <c r="G10" s="980"/>
      <c r="H10" s="981"/>
      <c r="I10" s="86" t="s">
        <v>221</v>
      </c>
      <c r="J10" s="197" t="s">
        <v>222</v>
      </c>
      <c r="K10" s="90" t="s">
        <v>223</v>
      </c>
      <c r="L10" s="86" t="s">
        <v>224</v>
      </c>
      <c r="M10" s="197" t="s">
        <v>225</v>
      </c>
      <c r="N10" s="90" t="s">
        <v>82</v>
      </c>
      <c r="O10" s="86" t="s">
        <v>83</v>
      </c>
      <c r="P10" s="90" t="s">
        <v>84</v>
      </c>
      <c r="R10" s="653"/>
      <c r="T10" s="679" t="s">
        <v>85</v>
      </c>
      <c r="U10" s="680"/>
      <c r="V10" s="92" t="s">
        <v>86</v>
      </c>
      <c r="W10" s="373" t="s">
        <v>87</v>
      </c>
      <c r="X10" s="369" t="s">
        <v>86</v>
      </c>
      <c r="Y10" s="371"/>
      <c r="Z10" s="365"/>
      <c r="AA10" s="365"/>
      <c r="AB10" s="354" t="s">
        <v>71</v>
      </c>
      <c r="AC10" s="354" t="s">
        <v>71</v>
      </c>
      <c r="AD10" s="369" t="s">
        <v>88</v>
      </c>
      <c r="AE10" s="91" t="s">
        <v>89</v>
      </c>
      <c r="AF10" s="49" t="s">
        <v>90</v>
      </c>
      <c r="AG10" s="92" t="s">
        <v>91</v>
      </c>
      <c r="AH10" s="679"/>
      <c r="AI10" s="971"/>
      <c r="AJ10" s="972"/>
      <c r="AK10" s="157"/>
      <c r="AL10" s="157"/>
      <c r="AM10" s="157"/>
      <c r="AO10" s="431"/>
      <c r="AR10" s="157" t="s">
        <v>251</v>
      </c>
    </row>
    <row r="11" spans="1:44" s="25" customFormat="1" ht="15.75" x14ac:dyDescent="0.45">
      <c r="A11" s="89"/>
      <c r="B11" s="270">
        <v>1</v>
      </c>
      <c r="C11" s="555" t="s">
        <v>252</v>
      </c>
      <c r="D11" s="671"/>
      <c r="E11" s="671"/>
      <c r="F11" s="951"/>
      <c r="G11" s="951"/>
      <c r="H11" s="951"/>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3"/>
      <c r="T11" s="662" t="str">
        <f>IF(D11="","",VLOOKUP(D11,'9. All Habitats + Multipliers'!$C$4:$K$102,5,FALSE))</f>
        <v/>
      </c>
      <c r="U11" s="663"/>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x14ac:dyDescent="0.45">
      <c r="B12" s="264">
        <v>2</v>
      </c>
      <c r="C12" s="556" t="s">
        <v>252</v>
      </c>
      <c r="D12" s="671"/>
      <c r="E12" s="671"/>
      <c r="F12" s="951"/>
      <c r="G12" s="951"/>
      <c r="H12" s="951"/>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3"/>
      <c r="T12" s="662" t="str">
        <f>IF(D12="","",VLOOKUP(D12,'9. All Habitats + Multipliers'!$C$4:$K$102,5,FALSE))</f>
        <v/>
      </c>
      <c r="U12" s="663"/>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x14ac:dyDescent="0.45">
      <c r="B13" s="264">
        <v>3</v>
      </c>
      <c r="C13" s="556" t="s">
        <v>252</v>
      </c>
      <c r="D13" s="671"/>
      <c r="E13" s="671"/>
      <c r="F13" s="951"/>
      <c r="G13" s="951"/>
      <c r="H13" s="951"/>
      <c r="I13" s="471"/>
      <c r="J13" s="306"/>
      <c r="K13" s="307"/>
      <c r="L13" s="466" t="str">
        <f t="shared" si="0"/>
        <v/>
      </c>
      <c r="M13" s="301" t="str">
        <f t="shared" ref="M13:M29" si="6">IF(I13="","",IF(J13+K13&gt;I13,"Length Error ▲",I13-J13-K13))</f>
        <v/>
      </c>
      <c r="N13" s="466" t="str">
        <f t="shared" si="1"/>
        <v/>
      </c>
      <c r="O13" s="68"/>
      <c r="P13" s="3"/>
      <c r="R13" s="653"/>
      <c r="T13" s="662" t="str">
        <f>IF(D13="","",VLOOKUP(D13,'9. All Habitats + Multipliers'!$C$4:$K$102,5,FALSE))</f>
        <v/>
      </c>
      <c r="U13" s="663"/>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x14ac:dyDescent="0.45">
      <c r="B14" s="264">
        <v>4</v>
      </c>
      <c r="C14" s="556" t="s">
        <v>252</v>
      </c>
      <c r="D14" s="671"/>
      <c r="E14" s="671"/>
      <c r="F14" s="951"/>
      <c r="G14" s="951"/>
      <c r="H14" s="951"/>
      <c r="I14" s="471"/>
      <c r="J14" s="306"/>
      <c r="K14" s="307"/>
      <c r="L14" s="466" t="str">
        <f t="shared" si="0"/>
        <v/>
      </c>
      <c r="M14" s="301" t="str">
        <f t="shared" si="6"/>
        <v/>
      </c>
      <c r="N14" s="466" t="str">
        <f t="shared" si="1"/>
        <v/>
      </c>
      <c r="O14" s="68"/>
      <c r="P14" s="3"/>
      <c r="R14" s="653"/>
      <c r="T14" s="662" t="str">
        <f>IF(D14="","",VLOOKUP(D14,'9. All Habitats + Multipliers'!$C$4:$K$102,5,FALSE))</f>
        <v/>
      </c>
      <c r="U14" s="663"/>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x14ac:dyDescent="0.45">
      <c r="B15" s="264">
        <v>5</v>
      </c>
      <c r="C15" s="556" t="s">
        <v>252</v>
      </c>
      <c r="D15" s="671"/>
      <c r="E15" s="671"/>
      <c r="F15" s="951"/>
      <c r="G15" s="951"/>
      <c r="H15" s="951"/>
      <c r="I15" s="471"/>
      <c r="J15" s="306"/>
      <c r="K15" s="307"/>
      <c r="L15" s="466" t="str">
        <f t="shared" si="0"/>
        <v/>
      </c>
      <c r="M15" s="301" t="str">
        <f t="shared" si="6"/>
        <v/>
      </c>
      <c r="N15" s="466" t="str">
        <f t="shared" si="1"/>
        <v/>
      </c>
      <c r="O15" s="68"/>
      <c r="P15" s="3"/>
      <c r="R15" s="653"/>
      <c r="T15" s="662" t="str">
        <f>IF(D15="","",VLOOKUP(D15,'9. All Habitats + Multipliers'!$C$4:$K$102,5,FALSE))</f>
        <v/>
      </c>
      <c r="U15" s="663"/>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x14ac:dyDescent="0.45">
      <c r="B16" s="264">
        <v>6</v>
      </c>
      <c r="C16" s="556" t="s">
        <v>252</v>
      </c>
      <c r="D16" s="671"/>
      <c r="E16" s="671"/>
      <c r="F16" s="951"/>
      <c r="G16" s="951"/>
      <c r="H16" s="951"/>
      <c r="I16" s="471"/>
      <c r="J16" s="306"/>
      <c r="K16" s="307"/>
      <c r="L16" s="466" t="str">
        <f t="shared" si="0"/>
        <v/>
      </c>
      <c r="M16" s="301" t="str">
        <f t="shared" si="6"/>
        <v/>
      </c>
      <c r="N16" s="466" t="str">
        <f t="shared" si="1"/>
        <v/>
      </c>
      <c r="O16" s="68"/>
      <c r="P16" s="3"/>
      <c r="R16" s="653"/>
      <c r="T16" s="662" t="str">
        <f>IF(D16="","",VLOOKUP(D16,'9. All Habitats + Multipliers'!$C$4:$K$102,5,FALSE))</f>
        <v/>
      </c>
      <c r="U16" s="663"/>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x14ac:dyDescent="0.45">
      <c r="B17" s="264">
        <v>7</v>
      </c>
      <c r="C17" s="556" t="s">
        <v>252</v>
      </c>
      <c r="D17" s="671"/>
      <c r="E17" s="671"/>
      <c r="F17" s="951"/>
      <c r="G17" s="951"/>
      <c r="H17" s="951"/>
      <c r="I17" s="471"/>
      <c r="J17" s="306"/>
      <c r="K17" s="307"/>
      <c r="L17" s="466" t="str">
        <f t="shared" si="0"/>
        <v/>
      </c>
      <c r="M17" s="301" t="str">
        <f t="shared" si="6"/>
        <v/>
      </c>
      <c r="N17" s="466" t="str">
        <f t="shared" si="1"/>
        <v/>
      </c>
      <c r="O17" s="68"/>
      <c r="P17" s="3"/>
      <c r="R17" s="653"/>
      <c r="T17" s="662" t="str">
        <f>IF(D17="","",VLOOKUP(D17,'9. All Habitats + Multipliers'!$C$4:$K$102,5,FALSE))</f>
        <v/>
      </c>
      <c r="U17" s="663"/>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x14ac:dyDescent="0.45">
      <c r="B18" s="264">
        <v>8</v>
      </c>
      <c r="C18" s="556" t="s">
        <v>252</v>
      </c>
      <c r="D18" s="671"/>
      <c r="E18" s="671"/>
      <c r="F18" s="951"/>
      <c r="G18" s="951"/>
      <c r="H18" s="951"/>
      <c r="I18" s="471"/>
      <c r="J18" s="306"/>
      <c r="K18" s="307"/>
      <c r="L18" s="466" t="str">
        <f t="shared" si="0"/>
        <v/>
      </c>
      <c r="M18" s="301" t="str">
        <f t="shared" si="6"/>
        <v/>
      </c>
      <c r="N18" s="466" t="str">
        <f t="shared" si="1"/>
        <v/>
      </c>
      <c r="O18" s="68"/>
      <c r="P18" s="3"/>
      <c r="R18" s="653"/>
      <c r="T18" s="662" t="str">
        <f>IF(D18="","",VLOOKUP(D18,'9. All Habitats + Multipliers'!$C$4:$K$102,5,FALSE))</f>
        <v/>
      </c>
      <c r="U18" s="663"/>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x14ac:dyDescent="0.45">
      <c r="B19" s="264">
        <v>9</v>
      </c>
      <c r="C19" s="556" t="s">
        <v>252</v>
      </c>
      <c r="D19" s="671"/>
      <c r="E19" s="671"/>
      <c r="F19" s="951"/>
      <c r="G19" s="951"/>
      <c r="H19" s="951"/>
      <c r="I19" s="471"/>
      <c r="J19" s="306"/>
      <c r="K19" s="307"/>
      <c r="L19" s="466" t="str">
        <f t="shared" si="0"/>
        <v/>
      </c>
      <c r="M19" s="301" t="str">
        <f t="shared" si="6"/>
        <v/>
      </c>
      <c r="N19" s="466" t="str">
        <f t="shared" si="1"/>
        <v/>
      </c>
      <c r="O19" s="68"/>
      <c r="P19" s="3"/>
      <c r="R19" s="653"/>
      <c r="T19" s="662" t="str">
        <f>IF(D19="","",VLOOKUP(D19,'9. All Habitats + Multipliers'!$C$4:$K$102,5,FALSE))</f>
        <v/>
      </c>
      <c r="U19" s="663"/>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x14ac:dyDescent="0.45">
      <c r="B20" s="264">
        <v>10</v>
      </c>
      <c r="C20" s="556" t="s">
        <v>252</v>
      </c>
      <c r="D20" s="671"/>
      <c r="E20" s="671"/>
      <c r="F20" s="951"/>
      <c r="G20" s="951"/>
      <c r="H20" s="951"/>
      <c r="I20" s="471"/>
      <c r="J20" s="306"/>
      <c r="K20" s="307"/>
      <c r="L20" s="466" t="str">
        <f t="shared" si="0"/>
        <v/>
      </c>
      <c r="M20" s="301" t="str">
        <f t="shared" si="6"/>
        <v/>
      </c>
      <c r="N20" s="466" t="str">
        <f t="shared" si="1"/>
        <v/>
      </c>
      <c r="O20" s="68"/>
      <c r="P20" s="8"/>
      <c r="R20" s="653"/>
      <c r="T20" s="662" t="str">
        <f>IF(D20="","",VLOOKUP(D20,'9. All Habitats + Multipliers'!$C$4:$K$102,5,FALSE))</f>
        <v/>
      </c>
      <c r="U20" s="663"/>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x14ac:dyDescent="0.45">
      <c r="B21" s="264">
        <v>11</v>
      </c>
      <c r="C21" s="556" t="s">
        <v>252</v>
      </c>
      <c r="D21" s="671"/>
      <c r="E21" s="671"/>
      <c r="F21" s="951"/>
      <c r="G21" s="951"/>
      <c r="H21" s="951"/>
      <c r="I21" s="471"/>
      <c r="J21" s="306"/>
      <c r="K21" s="307"/>
      <c r="L21" s="466" t="str">
        <f t="shared" si="0"/>
        <v/>
      </c>
      <c r="M21" s="301" t="str">
        <f t="shared" si="6"/>
        <v/>
      </c>
      <c r="N21" s="466" t="str">
        <f t="shared" si="1"/>
        <v/>
      </c>
      <c r="O21" s="68"/>
      <c r="P21" s="8"/>
      <c r="R21" s="653"/>
      <c r="T21" s="662" t="str">
        <f>IF(D21="","",VLOOKUP(D21,'9. All Habitats + Multipliers'!$C$4:$K$102,5,FALSE))</f>
        <v/>
      </c>
      <c r="U21" s="663"/>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x14ac:dyDescent="0.45">
      <c r="B22" s="264">
        <v>12</v>
      </c>
      <c r="C22" s="556" t="s">
        <v>252</v>
      </c>
      <c r="D22" s="671"/>
      <c r="E22" s="671"/>
      <c r="F22" s="951"/>
      <c r="G22" s="951"/>
      <c r="H22" s="951"/>
      <c r="I22" s="471"/>
      <c r="J22" s="306"/>
      <c r="K22" s="307"/>
      <c r="L22" s="466" t="str">
        <f t="shared" si="0"/>
        <v/>
      </c>
      <c r="M22" s="301" t="str">
        <f t="shared" si="6"/>
        <v/>
      </c>
      <c r="N22" s="466" t="str">
        <f t="shared" si="1"/>
        <v/>
      </c>
      <c r="O22" s="68"/>
      <c r="P22" s="8"/>
      <c r="R22" s="653"/>
      <c r="T22" s="662" t="str">
        <f>IF(D22="","",VLOOKUP(D22,'9. All Habitats + Multipliers'!$C$4:$K$102,5,FALSE))</f>
        <v/>
      </c>
      <c r="U22" s="663"/>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x14ac:dyDescent="0.45">
      <c r="B23" s="264">
        <v>13</v>
      </c>
      <c r="C23" s="556" t="s">
        <v>252</v>
      </c>
      <c r="D23" s="671"/>
      <c r="E23" s="671"/>
      <c r="F23" s="951"/>
      <c r="G23" s="951"/>
      <c r="H23" s="951"/>
      <c r="I23" s="471"/>
      <c r="J23" s="306"/>
      <c r="K23" s="307"/>
      <c r="L23" s="466" t="str">
        <f t="shared" si="0"/>
        <v/>
      </c>
      <c r="M23" s="301" t="str">
        <f t="shared" si="6"/>
        <v/>
      </c>
      <c r="N23" s="466" t="str">
        <f t="shared" si="1"/>
        <v/>
      </c>
      <c r="O23" s="68"/>
      <c r="P23" s="8"/>
      <c r="R23" s="653"/>
      <c r="T23" s="662" t="str">
        <f>IF(D23="","",VLOOKUP(D23,'9. All Habitats + Multipliers'!$C$4:$K$102,5,FALSE))</f>
        <v/>
      </c>
      <c r="U23" s="663"/>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x14ac:dyDescent="0.45">
      <c r="B24" s="264">
        <v>14</v>
      </c>
      <c r="C24" s="556" t="s">
        <v>252</v>
      </c>
      <c r="D24" s="671"/>
      <c r="E24" s="671"/>
      <c r="F24" s="951"/>
      <c r="G24" s="951"/>
      <c r="H24" s="951"/>
      <c r="I24" s="471"/>
      <c r="J24" s="306"/>
      <c r="K24" s="307"/>
      <c r="L24" s="466" t="str">
        <f t="shared" si="0"/>
        <v/>
      </c>
      <c r="M24" s="301" t="str">
        <f t="shared" si="6"/>
        <v/>
      </c>
      <c r="N24" s="466" t="str">
        <f t="shared" si="1"/>
        <v/>
      </c>
      <c r="O24" s="68"/>
      <c r="P24" s="8"/>
      <c r="R24" s="653"/>
      <c r="T24" s="662" t="str">
        <f>IF(D24="","",VLOOKUP(D24,'9. All Habitats + Multipliers'!$C$4:$K$102,5,FALSE))</f>
        <v/>
      </c>
      <c r="U24" s="663"/>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x14ac:dyDescent="0.45">
      <c r="B25" s="264">
        <v>15</v>
      </c>
      <c r="C25" s="556" t="s">
        <v>252</v>
      </c>
      <c r="D25" s="671"/>
      <c r="E25" s="671"/>
      <c r="F25" s="951"/>
      <c r="G25" s="951"/>
      <c r="H25" s="951"/>
      <c r="I25" s="471"/>
      <c r="J25" s="306"/>
      <c r="K25" s="307"/>
      <c r="L25" s="466" t="str">
        <f t="shared" si="0"/>
        <v/>
      </c>
      <c r="M25" s="301" t="str">
        <f t="shared" si="6"/>
        <v/>
      </c>
      <c r="N25" s="466" t="str">
        <f t="shared" si="1"/>
        <v/>
      </c>
      <c r="O25" s="68"/>
      <c r="P25" s="8"/>
      <c r="R25" s="653"/>
      <c r="T25" s="662" t="str">
        <f>IF(D25="","",VLOOKUP(D25,'9. All Habitats + Multipliers'!$C$4:$K$102,5,FALSE))</f>
        <v/>
      </c>
      <c r="U25" s="663"/>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x14ac:dyDescent="0.45">
      <c r="B26" s="264">
        <v>16</v>
      </c>
      <c r="C26" s="556" t="s">
        <v>252</v>
      </c>
      <c r="D26" s="671"/>
      <c r="E26" s="671"/>
      <c r="F26" s="951"/>
      <c r="G26" s="951"/>
      <c r="H26" s="951"/>
      <c r="I26" s="471"/>
      <c r="J26" s="306"/>
      <c r="K26" s="307"/>
      <c r="L26" s="466" t="str">
        <f t="shared" si="0"/>
        <v/>
      </c>
      <c r="M26" s="301" t="str">
        <f t="shared" si="6"/>
        <v/>
      </c>
      <c r="N26" s="466" t="str">
        <f t="shared" si="1"/>
        <v/>
      </c>
      <c r="O26" s="68"/>
      <c r="P26" s="8"/>
      <c r="R26" s="653"/>
      <c r="T26" s="662" t="str">
        <f>IF(D26="","",VLOOKUP(D26,'9. All Habitats + Multipliers'!$C$4:$K$102,5,FALSE))</f>
        <v/>
      </c>
      <c r="U26" s="663"/>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x14ac:dyDescent="0.45">
      <c r="B27" s="264">
        <v>17</v>
      </c>
      <c r="C27" s="556" t="s">
        <v>252</v>
      </c>
      <c r="D27" s="671"/>
      <c r="E27" s="671"/>
      <c r="F27" s="951"/>
      <c r="G27" s="951"/>
      <c r="H27" s="951"/>
      <c r="I27" s="471"/>
      <c r="J27" s="306"/>
      <c r="K27" s="307"/>
      <c r="L27" s="466" t="str">
        <f t="shared" si="0"/>
        <v/>
      </c>
      <c r="M27" s="301" t="str">
        <f t="shared" si="6"/>
        <v/>
      </c>
      <c r="N27" s="466" t="str">
        <f t="shared" si="1"/>
        <v/>
      </c>
      <c r="O27" s="68"/>
      <c r="P27" s="8"/>
      <c r="R27" s="653"/>
      <c r="T27" s="662" t="str">
        <f>IF(D27="","",VLOOKUP(D27,'9. All Habitats + Multipliers'!$C$4:$K$102,5,FALSE))</f>
        <v/>
      </c>
      <c r="U27" s="663"/>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x14ac:dyDescent="0.45">
      <c r="B28" s="264">
        <v>18</v>
      </c>
      <c r="C28" s="556" t="s">
        <v>252</v>
      </c>
      <c r="D28" s="671"/>
      <c r="E28" s="671"/>
      <c r="F28" s="951"/>
      <c r="G28" s="951"/>
      <c r="H28" s="951"/>
      <c r="I28" s="471"/>
      <c r="J28" s="306"/>
      <c r="K28" s="307"/>
      <c r="L28" s="466" t="str">
        <f t="shared" si="0"/>
        <v/>
      </c>
      <c r="M28" s="301" t="str">
        <f t="shared" si="6"/>
        <v/>
      </c>
      <c r="N28" s="466" t="str">
        <f t="shared" si="1"/>
        <v/>
      </c>
      <c r="O28" s="68"/>
      <c r="P28" s="8"/>
      <c r="R28" s="653"/>
      <c r="T28" s="662" t="str">
        <f>IF(D28="","",VLOOKUP(D28,'9. All Habitats + Multipliers'!$C$4:$K$102,5,FALSE))</f>
        <v/>
      </c>
      <c r="U28" s="663"/>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x14ac:dyDescent="0.45">
      <c r="B29" s="264">
        <v>19</v>
      </c>
      <c r="C29" s="556" t="s">
        <v>252</v>
      </c>
      <c r="D29" s="671"/>
      <c r="E29" s="671"/>
      <c r="F29" s="951"/>
      <c r="G29" s="951"/>
      <c r="H29" s="951"/>
      <c r="I29" s="471"/>
      <c r="J29" s="306"/>
      <c r="K29" s="307"/>
      <c r="L29" s="466" t="str">
        <f t="shared" si="0"/>
        <v/>
      </c>
      <c r="M29" s="301" t="str">
        <f t="shared" si="6"/>
        <v/>
      </c>
      <c r="N29" s="466" t="str">
        <f t="shared" si="1"/>
        <v/>
      </c>
      <c r="O29" s="68"/>
      <c r="P29" s="8"/>
      <c r="R29" s="653"/>
      <c r="T29" s="662" t="str">
        <f>IF(D29="","",VLOOKUP(D29,'9. All Habitats + Multipliers'!$C$4:$K$102,5,FALSE))</f>
        <v/>
      </c>
      <c r="U29" s="663"/>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x14ac:dyDescent="0.5">
      <c r="B30" s="265">
        <v>20</v>
      </c>
      <c r="C30" s="557" t="s">
        <v>252</v>
      </c>
      <c r="D30" s="675"/>
      <c r="E30" s="675"/>
      <c r="F30" s="970"/>
      <c r="G30" s="970"/>
      <c r="H30" s="970"/>
      <c r="I30" s="472"/>
      <c r="J30" s="309"/>
      <c r="K30" s="310"/>
      <c r="L30" s="474" t="str">
        <f t="shared" si="0"/>
        <v/>
      </c>
      <c r="M30" s="315" t="str">
        <f>IF(I30="","",IF(J30+K30&gt;I30,"Length Error ▲",I30-J30-K30))</f>
        <v/>
      </c>
      <c r="N30" s="474" t="str">
        <f t="shared" si="1"/>
        <v/>
      </c>
      <c r="O30" s="70"/>
      <c r="P30" s="4"/>
      <c r="R30" s="653"/>
      <c r="T30" s="664" t="str">
        <f>IF(D30="","",VLOOKUP(D30,'9. All Habitats + Multipliers'!$C$4:$K$102,5,FALSE))</f>
        <v/>
      </c>
      <c r="U30" s="665"/>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x14ac:dyDescent="0.45">
      <c r="D31" s="89"/>
      <c r="E31" s="103"/>
      <c r="F31" s="103"/>
      <c r="G31" s="103"/>
      <c r="H31" s="473" t="s">
        <v>227</v>
      </c>
      <c r="I31" s="326">
        <f t="shared" ref="I31:N31" si="8">SUM(I11:I30)</f>
        <v>0</v>
      </c>
      <c r="J31" s="327">
        <f t="shared" si="8"/>
        <v>0</v>
      </c>
      <c r="K31" s="328">
        <f t="shared" si="8"/>
        <v>0</v>
      </c>
      <c r="L31" s="283">
        <f t="shared" si="8"/>
        <v>0</v>
      </c>
      <c r="M31" s="316">
        <f t="shared" si="8"/>
        <v>0</v>
      </c>
      <c r="N31" s="291">
        <f t="shared" si="8"/>
        <v>0</v>
      </c>
      <c r="R31" s="653"/>
      <c r="AJ31" s="157"/>
      <c r="AK31" s="157"/>
      <c r="AL31" s="157"/>
      <c r="AM31" s="157"/>
      <c r="AN31" s="157"/>
      <c r="AR31" s="157"/>
    </row>
    <row r="32" spans="2:44" s="25" customFormat="1" x14ac:dyDescent="0.45">
      <c r="D32" s="89"/>
      <c r="E32" s="103"/>
      <c r="F32" s="103"/>
      <c r="G32" s="103"/>
      <c r="H32" s="289" t="s">
        <v>97</v>
      </c>
      <c r="I32" s="894" t="str">
        <f>IF(I31&lt;J31+K31,"Error - Lengths Retained and Enhanced Exceed Total Length ▲","Lengths Acceptable ✓")</f>
        <v>Lengths Acceptable ✓</v>
      </c>
      <c r="J32" s="894"/>
      <c r="K32" s="894"/>
      <c r="L32" s="894"/>
      <c r="M32" s="894"/>
      <c r="N32" s="895"/>
      <c r="O32" s="157">
        <f>IFERROR(FIND("Error",#REF!),0)</f>
        <v>0</v>
      </c>
      <c r="R32" s="104"/>
      <c r="AJ32" s="157"/>
      <c r="AK32" s="157"/>
      <c r="AL32" s="157"/>
      <c r="AM32" s="157"/>
      <c r="AN32" s="157"/>
      <c r="AR32" s="157"/>
    </row>
    <row r="33" spans="2:44" s="25" customFormat="1" ht="14.65" thickBot="1" x14ac:dyDescent="0.5">
      <c r="D33" s="89"/>
      <c r="E33" s="103"/>
      <c r="F33" s="103"/>
      <c r="G33" s="103"/>
      <c r="H33" s="272" t="s">
        <v>97</v>
      </c>
      <c r="I33" s="942" t="str">
        <f>IF(I31&lt;5000,"Lengths Acceptable ✓",IF(I31&gt;=5000,"Length Exceeds Length Appropriate for Small Sites Metric ▲"))</f>
        <v>Lengths Acceptable ✓</v>
      </c>
      <c r="J33" s="904"/>
      <c r="K33" s="904"/>
      <c r="L33" s="904"/>
      <c r="M33" s="904"/>
      <c r="N33" s="905"/>
      <c r="O33" s="157">
        <f>COUNTIF(L11:N30,"*"&amp;"error"&amp;"*")</f>
        <v>0</v>
      </c>
      <c r="R33" s="104"/>
      <c r="AJ33" s="157"/>
      <c r="AK33" s="157"/>
      <c r="AL33" s="157"/>
      <c r="AM33" s="157"/>
      <c r="AN33" s="157"/>
      <c r="AR33" s="157"/>
    </row>
    <row r="34" spans="2:44" s="25" customFormat="1" x14ac:dyDescent="0.45">
      <c r="D34" s="89"/>
      <c r="E34" s="103"/>
      <c r="F34" s="103"/>
      <c r="G34" s="103"/>
      <c r="H34" s="103"/>
      <c r="I34" s="103"/>
      <c r="J34" s="103"/>
      <c r="K34" s="103"/>
      <c r="L34" s="103"/>
      <c r="M34" s="103"/>
      <c r="N34" s="103"/>
      <c r="O34" s="26"/>
      <c r="R34" s="653" t="s">
        <v>55</v>
      </c>
      <c r="AJ34" s="157"/>
      <c r="AK34" s="157"/>
      <c r="AL34" s="157"/>
      <c r="AM34" s="157"/>
      <c r="AN34" s="157"/>
      <c r="AR34" s="157"/>
    </row>
    <row r="35" spans="2:44" s="25" customFormat="1" ht="21" x14ac:dyDescent="0.65">
      <c r="B35" s="57" t="s">
        <v>100</v>
      </c>
      <c r="D35" s="88"/>
      <c r="E35" s="103"/>
      <c r="F35" s="103"/>
      <c r="G35" s="103"/>
      <c r="I35" s="26"/>
      <c r="R35" s="653"/>
      <c r="AJ35" s="157"/>
      <c r="AK35" s="157"/>
      <c r="AL35" s="157"/>
      <c r="AM35" s="157"/>
      <c r="AN35" s="157"/>
      <c r="AR35" s="157"/>
    </row>
    <row r="36" spans="2:44" s="25" customFormat="1" ht="15.75" customHeight="1" thickBot="1" x14ac:dyDescent="0.5">
      <c r="R36" s="653"/>
      <c r="AJ36" s="157"/>
      <c r="AK36" s="157"/>
      <c r="AL36" s="157"/>
      <c r="AM36" s="157"/>
      <c r="AN36" s="157"/>
      <c r="AR36" s="157"/>
    </row>
    <row r="37" spans="2:44" s="25" customFormat="1" ht="16.149999999999999" customHeight="1" thickBot="1" x14ac:dyDescent="0.5">
      <c r="B37" s="735" t="s">
        <v>49</v>
      </c>
      <c r="C37" s="725"/>
      <c r="D37" s="738"/>
      <c r="E37" s="724" t="s">
        <v>101</v>
      </c>
      <c r="F37" s="784"/>
      <c r="G37" s="726"/>
      <c r="H37" s="784" t="s">
        <v>102</v>
      </c>
      <c r="I37" s="756" t="s">
        <v>228</v>
      </c>
      <c r="J37" s="757"/>
      <c r="K37" s="757"/>
      <c r="L37" s="724" t="s">
        <v>253</v>
      </c>
      <c r="M37" s="725"/>
      <c r="N37" s="726"/>
      <c r="O37" s="769" t="s">
        <v>68</v>
      </c>
      <c r="P37" s="726"/>
      <c r="R37" s="653"/>
      <c r="T37" s="936" t="s">
        <v>69</v>
      </c>
      <c r="U37" s="937"/>
      <c r="V37" s="938"/>
      <c r="W37" s="933" t="s">
        <v>70</v>
      </c>
      <c r="X37" s="935"/>
      <c r="Y37" s="763"/>
      <c r="Z37" s="763"/>
      <c r="AA37" s="763"/>
      <c r="AB37" s="933" t="s">
        <v>71</v>
      </c>
      <c r="AC37" s="934"/>
      <c r="AD37" s="935"/>
      <c r="AE37" s="929" t="s">
        <v>105</v>
      </c>
      <c r="AF37" s="930"/>
      <c r="AG37" s="929" t="s">
        <v>106</v>
      </c>
      <c r="AH37" s="930"/>
      <c r="AI37" s="973" t="s">
        <v>254</v>
      </c>
      <c r="AJ37" s="157"/>
      <c r="AK37" s="157"/>
      <c r="AL37" s="157"/>
      <c r="AM37" s="157"/>
      <c r="AN37" s="157"/>
      <c r="AR37" s="157"/>
    </row>
    <row r="38" spans="2:44" s="25" customFormat="1" ht="28.9" thickBot="1" x14ac:dyDescent="0.5">
      <c r="B38" s="736"/>
      <c r="C38" s="197" t="s">
        <v>75</v>
      </c>
      <c r="D38" s="198" t="s">
        <v>107</v>
      </c>
      <c r="E38" s="86" t="s">
        <v>108</v>
      </c>
      <c r="F38" s="722" t="s">
        <v>109</v>
      </c>
      <c r="G38" s="723"/>
      <c r="H38" s="785"/>
      <c r="I38" s="759"/>
      <c r="J38" s="760"/>
      <c r="K38" s="760"/>
      <c r="L38" s="891"/>
      <c r="M38" s="892"/>
      <c r="N38" s="893"/>
      <c r="O38" s="196" t="s">
        <v>83</v>
      </c>
      <c r="P38" s="90" t="s">
        <v>84</v>
      </c>
      <c r="R38" s="653"/>
      <c r="T38" s="929" t="s">
        <v>85</v>
      </c>
      <c r="U38" s="939"/>
      <c r="V38" s="526" t="s">
        <v>86</v>
      </c>
      <c r="W38" s="111" t="s">
        <v>87</v>
      </c>
      <c r="X38" s="112" t="s">
        <v>86</v>
      </c>
      <c r="Y38" s="371"/>
      <c r="Z38" s="365"/>
      <c r="AA38" s="527"/>
      <c r="AB38" s="111" t="s">
        <v>71</v>
      </c>
      <c r="AC38" s="500" t="s">
        <v>71</v>
      </c>
      <c r="AD38" s="112" t="s">
        <v>88</v>
      </c>
      <c r="AE38" s="111" t="s">
        <v>110</v>
      </c>
      <c r="AF38" s="112" t="s">
        <v>111</v>
      </c>
      <c r="AG38" s="111" t="s">
        <v>112</v>
      </c>
      <c r="AH38" s="112" t="s">
        <v>113</v>
      </c>
      <c r="AI38" s="974"/>
      <c r="AJ38" s="157"/>
      <c r="AK38" s="157"/>
      <c r="AL38" s="157"/>
      <c r="AM38" s="157"/>
      <c r="AN38" s="157"/>
      <c r="AR38" s="157"/>
    </row>
    <row r="39" spans="2:44" s="25" customFormat="1" ht="15.75" x14ac:dyDescent="0.45">
      <c r="B39" s="270">
        <v>1</v>
      </c>
      <c r="C39" s="555" t="s">
        <v>252</v>
      </c>
      <c r="D39" s="139"/>
      <c r="E39" s="140" t="str">
        <f>IF(D39="","",VLOOKUP(D39,'10. Condition and Temporal'!$B$6:$D$103,3,FALSE))</f>
        <v/>
      </c>
      <c r="F39" s="825"/>
      <c r="G39" s="826"/>
      <c r="H39" s="141"/>
      <c r="I39" s="968"/>
      <c r="J39" s="969"/>
      <c r="K39" s="969"/>
      <c r="L39" s="948" t="str">
        <f>IF(D39="","",IFERROR(IF(I39="","",((I39/1000)*(V39*X39))*(AH39*AF39)*AD39*AI39),"This intervention is not permitted within the SSM ▲"))</f>
        <v/>
      </c>
      <c r="M39" s="949"/>
      <c r="N39" s="950"/>
      <c r="O39" s="217"/>
      <c r="P39" s="142"/>
      <c r="Q39" s="106"/>
      <c r="R39" s="653"/>
      <c r="T39" s="940" t="str">
        <f>IF(D39="","",VLOOKUP(D39,'9. All Habitats + Multipliers'!$C$4:$K$102,5,FALSE))</f>
        <v/>
      </c>
      <c r="U39" s="941"/>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x14ac:dyDescent="0.45">
      <c r="B40" s="264">
        <v>2</v>
      </c>
      <c r="C40" s="556" t="s">
        <v>252</v>
      </c>
      <c r="D40" s="73"/>
      <c r="E40" s="105" t="str">
        <f>IF(D40="","",VLOOKUP(D40,'10. Condition and Temporal'!$B$6:$D$103,3,FALSE))</f>
        <v/>
      </c>
      <c r="F40" s="708"/>
      <c r="G40" s="709"/>
      <c r="H40" s="71"/>
      <c r="I40" s="717"/>
      <c r="J40" s="718"/>
      <c r="K40" s="718"/>
      <c r="L40" s="948" t="str">
        <f t="shared" ref="L40:L58" si="9">IF(D40="","",IFERROR(IF(I40="","",((I40/1000)*(V40*X40))*(AH40*AF40)*AD40*AI40),"This intervention is not permitted within the SSM ▲"))</f>
        <v/>
      </c>
      <c r="M40" s="949"/>
      <c r="N40" s="950"/>
      <c r="O40" s="74"/>
      <c r="P40" s="12"/>
      <c r="Q40" s="106"/>
      <c r="R40" s="653"/>
      <c r="T40" s="662" t="str">
        <f>IF(D40="","",VLOOKUP(D40,'9. All Habitats + Multipliers'!$C$4:$K$102,5,FALSE))</f>
        <v/>
      </c>
      <c r="U40" s="663"/>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x14ac:dyDescent="0.45">
      <c r="B41" s="264">
        <v>3</v>
      </c>
      <c r="C41" s="556" t="s">
        <v>252</v>
      </c>
      <c r="D41" s="73"/>
      <c r="E41" s="105" t="str">
        <f>IF(D41="","",VLOOKUP(D41,'10. Condition and Temporal'!$B$6:$D$103,3,FALSE))</f>
        <v/>
      </c>
      <c r="F41" s="708"/>
      <c r="G41" s="709"/>
      <c r="H41" s="71"/>
      <c r="I41" s="717"/>
      <c r="J41" s="718"/>
      <c r="K41" s="718"/>
      <c r="L41" s="948" t="str">
        <f t="shared" si="9"/>
        <v/>
      </c>
      <c r="M41" s="949"/>
      <c r="N41" s="950"/>
      <c r="O41" s="74"/>
      <c r="P41" s="12"/>
      <c r="Q41" s="106"/>
      <c r="R41" s="653"/>
      <c r="T41" s="662" t="str">
        <f>IF(D41="","",VLOOKUP(D41,'9. All Habitats + Multipliers'!$C$4:$K$102,5,FALSE))</f>
        <v/>
      </c>
      <c r="U41" s="663"/>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x14ac:dyDescent="0.45">
      <c r="B42" s="264">
        <v>4</v>
      </c>
      <c r="C42" s="556" t="s">
        <v>252</v>
      </c>
      <c r="D42" s="73"/>
      <c r="E42" s="105" t="str">
        <f>IF(D42="","",VLOOKUP(D42,'10. Condition and Temporal'!$B$6:$D$103,3,FALSE))</f>
        <v/>
      </c>
      <c r="F42" s="708"/>
      <c r="G42" s="709"/>
      <c r="H42" s="71"/>
      <c r="I42" s="717"/>
      <c r="J42" s="718"/>
      <c r="K42" s="718"/>
      <c r="L42" s="948" t="str">
        <f t="shared" si="9"/>
        <v/>
      </c>
      <c r="M42" s="949"/>
      <c r="N42" s="950"/>
      <c r="O42" s="74"/>
      <c r="P42" s="12"/>
      <c r="Q42" s="106"/>
      <c r="R42" s="653"/>
      <c r="T42" s="662" t="str">
        <f>IF(D42="","",VLOOKUP(D42,'9. All Habitats + Multipliers'!$C$4:$K$102,5,FALSE))</f>
        <v/>
      </c>
      <c r="U42" s="663"/>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x14ac:dyDescent="0.45">
      <c r="B43" s="264">
        <v>5</v>
      </c>
      <c r="C43" s="556" t="s">
        <v>252</v>
      </c>
      <c r="D43" s="73"/>
      <c r="E43" s="105" t="str">
        <f>IF(D43="","",VLOOKUP(D43,'10. Condition and Temporal'!$B$6:$D$103,3,FALSE))</f>
        <v/>
      </c>
      <c r="F43" s="708"/>
      <c r="G43" s="709"/>
      <c r="H43" s="71"/>
      <c r="I43" s="717"/>
      <c r="J43" s="718"/>
      <c r="K43" s="718"/>
      <c r="L43" s="948" t="str">
        <f t="shared" si="9"/>
        <v/>
      </c>
      <c r="M43" s="949"/>
      <c r="N43" s="950"/>
      <c r="O43" s="74"/>
      <c r="P43" s="12"/>
      <c r="R43" s="653"/>
      <c r="T43" s="662" t="str">
        <f>IF(D43="","",VLOOKUP(D43,'9. All Habitats + Multipliers'!$C$4:$K$102,5,FALSE))</f>
        <v/>
      </c>
      <c r="U43" s="663"/>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x14ac:dyDescent="0.45">
      <c r="B44" s="264">
        <v>6</v>
      </c>
      <c r="C44" s="556" t="s">
        <v>252</v>
      </c>
      <c r="D44" s="73"/>
      <c r="E44" s="105" t="str">
        <f>IF(D44="","",VLOOKUP(D44,'10. Condition and Temporal'!$B$6:$D$103,3,FALSE))</f>
        <v/>
      </c>
      <c r="F44" s="708"/>
      <c r="G44" s="709"/>
      <c r="H44" s="71"/>
      <c r="I44" s="717"/>
      <c r="J44" s="718"/>
      <c r="K44" s="718"/>
      <c r="L44" s="948" t="str">
        <f t="shared" si="9"/>
        <v/>
      </c>
      <c r="M44" s="949"/>
      <c r="N44" s="950"/>
      <c r="O44" s="74"/>
      <c r="P44" s="12"/>
      <c r="R44" s="653"/>
      <c r="T44" s="662" t="str">
        <f>IF(D44="","",VLOOKUP(D44,'9. All Habitats + Multipliers'!$C$4:$K$102,5,FALSE))</f>
        <v/>
      </c>
      <c r="U44" s="663"/>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x14ac:dyDescent="0.45">
      <c r="B45" s="264">
        <v>7</v>
      </c>
      <c r="C45" s="556" t="s">
        <v>252</v>
      </c>
      <c r="D45" s="73"/>
      <c r="E45" s="105" t="str">
        <f>IF(D45="","",VLOOKUP(D45,'10. Condition and Temporal'!$B$6:$D$103,3,FALSE))</f>
        <v/>
      </c>
      <c r="F45" s="708"/>
      <c r="G45" s="709"/>
      <c r="H45" s="71"/>
      <c r="I45" s="717"/>
      <c r="J45" s="718"/>
      <c r="K45" s="718"/>
      <c r="L45" s="948" t="str">
        <f t="shared" si="9"/>
        <v/>
      </c>
      <c r="M45" s="949"/>
      <c r="N45" s="950"/>
      <c r="O45" s="74"/>
      <c r="P45" s="12"/>
      <c r="R45" s="653"/>
      <c r="T45" s="662" t="str">
        <f>IF(D45="","",VLOOKUP(D45,'9. All Habitats + Multipliers'!$C$4:$K$102,5,FALSE))</f>
        <v/>
      </c>
      <c r="U45" s="663"/>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x14ac:dyDescent="0.45">
      <c r="B46" s="264">
        <v>8</v>
      </c>
      <c r="C46" s="556" t="s">
        <v>252</v>
      </c>
      <c r="D46" s="73"/>
      <c r="E46" s="105" t="str">
        <f>IF(D46="","",VLOOKUP(D46,'10. Condition and Temporal'!$B$6:$D$103,3,FALSE))</f>
        <v/>
      </c>
      <c r="F46" s="708"/>
      <c r="G46" s="709"/>
      <c r="H46" s="71"/>
      <c r="I46" s="717"/>
      <c r="J46" s="718"/>
      <c r="K46" s="718"/>
      <c r="L46" s="948" t="str">
        <f t="shared" si="9"/>
        <v/>
      </c>
      <c r="M46" s="949"/>
      <c r="N46" s="950"/>
      <c r="O46" s="74"/>
      <c r="P46" s="12"/>
      <c r="R46" s="653"/>
      <c r="T46" s="662" t="str">
        <f>IF(D46="","",VLOOKUP(D46,'9. All Habitats + Multipliers'!$C$4:$K$102,5,FALSE))</f>
        <v/>
      </c>
      <c r="U46" s="663"/>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x14ac:dyDescent="0.45">
      <c r="B47" s="264">
        <v>9</v>
      </c>
      <c r="C47" s="556" t="s">
        <v>252</v>
      </c>
      <c r="D47" s="73"/>
      <c r="E47" s="105" t="str">
        <f>IF(D47="","",VLOOKUP(D47,'10. Condition and Temporal'!$B$6:$D$103,3,FALSE))</f>
        <v/>
      </c>
      <c r="F47" s="708"/>
      <c r="G47" s="709"/>
      <c r="H47" s="71"/>
      <c r="I47" s="717"/>
      <c r="J47" s="718"/>
      <c r="K47" s="718"/>
      <c r="L47" s="948" t="str">
        <f t="shared" si="9"/>
        <v/>
      </c>
      <c r="M47" s="949"/>
      <c r="N47" s="950"/>
      <c r="O47" s="74"/>
      <c r="P47" s="12"/>
      <c r="R47" s="653"/>
      <c r="T47" s="662" t="str">
        <f>IF(D47="","",VLOOKUP(D47,'9. All Habitats + Multipliers'!$C$4:$K$102,5,FALSE))</f>
        <v/>
      </c>
      <c r="U47" s="663"/>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x14ac:dyDescent="0.45">
      <c r="B48" s="264">
        <v>10</v>
      </c>
      <c r="C48" s="556" t="s">
        <v>252</v>
      </c>
      <c r="D48" s="73"/>
      <c r="E48" s="105" t="str">
        <f>IF(D48="","",VLOOKUP(D48,'10. Condition and Temporal'!$B$6:$D$103,3,FALSE))</f>
        <v/>
      </c>
      <c r="F48" s="708"/>
      <c r="G48" s="709"/>
      <c r="H48" s="71"/>
      <c r="I48" s="717"/>
      <c r="J48" s="718"/>
      <c r="K48" s="718"/>
      <c r="L48" s="948" t="str">
        <f t="shared" si="9"/>
        <v/>
      </c>
      <c r="M48" s="949"/>
      <c r="N48" s="950"/>
      <c r="O48" s="74"/>
      <c r="P48" s="12"/>
      <c r="R48" s="653"/>
      <c r="T48" s="662" t="str">
        <f>IF(D48="","",VLOOKUP(D48,'9. All Habitats + Multipliers'!$C$4:$K$102,5,FALSE))</f>
        <v/>
      </c>
      <c r="U48" s="663"/>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x14ac:dyDescent="0.45">
      <c r="B49" s="264">
        <v>11</v>
      </c>
      <c r="C49" s="556" t="s">
        <v>252</v>
      </c>
      <c r="D49" s="73"/>
      <c r="E49" s="105" t="str">
        <f>IF(D49="","",VLOOKUP(D49,'10. Condition and Temporal'!$B$6:$D$103,3,FALSE))</f>
        <v/>
      </c>
      <c r="F49" s="708"/>
      <c r="G49" s="709"/>
      <c r="H49" s="71"/>
      <c r="I49" s="717"/>
      <c r="J49" s="718"/>
      <c r="K49" s="718"/>
      <c r="L49" s="948" t="str">
        <f t="shared" si="9"/>
        <v/>
      </c>
      <c r="M49" s="949"/>
      <c r="N49" s="950"/>
      <c r="O49" s="74"/>
      <c r="P49" s="12"/>
      <c r="R49" s="653"/>
      <c r="T49" s="662" t="str">
        <f>IF(D49="","",VLOOKUP(D49,'9. All Habitats + Multipliers'!$C$4:$K$102,5,FALSE))</f>
        <v/>
      </c>
      <c r="U49" s="663"/>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x14ac:dyDescent="0.45">
      <c r="B50" s="264">
        <v>12</v>
      </c>
      <c r="C50" s="556" t="s">
        <v>252</v>
      </c>
      <c r="D50" s="73"/>
      <c r="E50" s="105" t="str">
        <f>IF(D50="","",VLOOKUP(D50,'10. Condition and Temporal'!$B$6:$D$103,3,FALSE))</f>
        <v/>
      </c>
      <c r="F50" s="708"/>
      <c r="G50" s="709"/>
      <c r="H50" s="71"/>
      <c r="I50" s="717"/>
      <c r="J50" s="718"/>
      <c r="K50" s="718"/>
      <c r="L50" s="948" t="str">
        <f t="shared" si="9"/>
        <v/>
      </c>
      <c r="M50" s="949"/>
      <c r="N50" s="950"/>
      <c r="O50" s="74"/>
      <c r="P50" s="12"/>
      <c r="R50" s="653"/>
      <c r="T50" s="662" t="str">
        <f>IF(D50="","",VLOOKUP(D50,'9. All Habitats + Multipliers'!$C$4:$K$102,5,FALSE))</f>
        <v/>
      </c>
      <c r="U50" s="663"/>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x14ac:dyDescent="0.45">
      <c r="B51" s="264">
        <v>13</v>
      </c>
      <c r="C51" s="556" t="s">
        <v>252</v>
      </c>
      <c r="D51" s="73"/>
      <c r="E51" s="105" t="str">
        <f>IF(D51="","",VLOOKUP(D51,'10. Condition and Temporal'!$B$6:$D$103,3,FALSE))</f>
        <v/>
      </c>
      <c r="F51" s="708"/>
      <c r="G51" s="709"/>
      <c r="H51" s="71"/>
      <c r="I51" s="717"/>
      <c r="J51" s="718"/>
      <c r="K51" s="718"/>
      <c r="L51" s="948" t="str">
        <f t="shared" si="9"/>
        <v/>
      </c>
      <c r="M51" s="949"/>
      <c r="N51" s="950"/>
      <c r="O51" s="74"/>
      <c r="P51" s="12"/>
      <c r="R51" s="653"/>
      <c r="T51" s="662" t="str">
        <f>IF(D51="","",VLOOKUP(D51,'9. All Habitats + Multipliers'!$C$4:$K$102,5,FALSE))</f>
        <v/>
      </c>
      <c r="U51" s="663"/>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x14ac:dyDescent="0.45">
      <c r="B52" s="264">
        <v>14</v>
      </c>
      <c r="C52" s="556" t="s">
        <v>252</v>
      </c>
      <c r="D52" s="73"/>
      <c r="E52" s="105" t="str">
        <f>IF(D52="","",VLOOKUP(D52,'10. Condition and Temporal'!$B$6:$D$103,3,FALSE))</f>
        <v/>
      </c>
      <c r="F52" s="708"/>
      <c r="G52" s="709"/>
      <c r="H52" s="71"/>
      <c r="I52" s="717"/>
      <c r="J52" s="718"/>
      <c r="K52" s="718"/>
      <c r="L52" s="948" t="str">
        <f t="shared" si="9"/>
        <v/>
      </c>
      <c r="M52" s="949"/>
      <c r="N52" s="950"/>
      <c r="O52" s="74"/>
      <c r="P52" s="12"/>
      <c r="R52" s="653"/>
      <c r="T52" s="662" t="str">
        <f>IF(D52="","",VLOOKUP(D52,'9. All Habitats + Multipliers'!$C$4:$K$102,5,FALSE))</f>
        <v/>
      </c>
      <c r="U52" s="663"/>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x14ac:dyDescent="0.45">
      <c r="B53" s="264">
        <v>15</v>
      </c>
      <c r="C53" s="556" t="s">
        <v>252</v>
      </c>
      <c r="D53" s="73"/>
      <c r="E53" s="105" t="str">
        <f>IF(D53="","",VLOOKUP(D53,'10. Condition and Temporal'!$B$6:$D$103,3,FALSE))</f>
        <v/>
      </c>
      <c r="F53" s="708"/>
      <c r="G53" s="709"/>
      <c r="H53" s="71"/>
      <c r="I53" s="717"/>
      <c r="J53" s="718"/>
      <c r="K53" s="718"/>
      <c r="L53" s="948" t="str">
        <f t="shared" si="9"/>
        <v/>
      </c>
      <c r="M53" s="949"/>
      <c r="N53" s="950"/>
      <c r="O53" s="74"/>
      <c r="P53" s="12"/>
      <c r="R53" s="653"/>
      <c r="T53" s="662" t="str">
        <f>IF(D53="","",VLOOKUP(D53,'9. All Habitats + Multipliers'!$C$4:$K$102,5,FALSE))</f>
        <v/>
      </c>
      <c r="U53" s="663"/>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x14ac:dyDescent="0.45">
      <c r="B54" s="264">
        <v>16</v>
      </c>
      <c r="C54" s="556" t="s">
        <v>252</v>
      </c>
      <c r="D54" s="73"/>
      <c r="E54" s="105" t="str">
        <f>IF(D54="","",VLOOKUP(D54,'10. Condition and Temporal'!$B$6:$D$103,3,FALSE))</f>
        <v/>
      </c>
      <c r="F54" s="708"/>
      <c r="G54" s="709"/>
      <c r="H54" s="71"/>
      <c r="I54" s="717"/>
      <c r="J54" s="718"/>
      <c r="K54" s="718"/>
      <c r="L54" s="948" t="str">
        <f t="shared" si="9"/>
        <v/>
      </c>
      <c r="M54" s="949"/>
      <c r="N54" s="950"/>
      <c r="O54" s="74"/>
      <c r="P54" s="12"/>
      <c r="R54" s="653"/>
      <c r="T54" s="662" t="str">
        <f>IF(D54="","",VLOOKUP(D54,'9. All Habitats + Multipliers'!$C$4:$K$102,5,FALSE))</f>
        <v/>
      </c>
      <c r="U54" s="663"/>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x14ac:dyDescent="0.45">
      <c r="B55" s="264">
        <v>17</v>
      </c>
      <c r="C55" s="556" t="s">
        <v>252</v>
      </c>
      <c r="D55" s="73"/>
      <c r="E55" s="105" t="str">
        <f>IF(D55="","",VLOOKUP(D55,'10. Condition and Temporal'!$B$6:$D$103,3,FALSE))</f>
        <v/>
      </c>
      <c r="F55" s="708"/>
      <c r="G55" s="709"/>
      <c r="H55" s="71"/>
      <c r="I55" s="717"/>
      <c r="J55" s="718"/>
      <c r="K55" s="718"/>
      <c r="L55" s="948" t="str">
        <f t="shared" si="9"/>
        <v/>
      </c>
      <c r="M55" s="949"/>
      <c r="N55" s="950"/>
      <c r="O55" s="74"/>
      <c r="P55" s="12"/>
      <c r="R55" s="653"/>
      <c r="T55" s="662" t="str">
        <f>IF(D55="","",VLOOKUP(D55,'9. All Habitats + Multipliers'!$C$4:$K$102,5,FALSE))</f>
        <v/>
      </c>
      <c r="U55" s="663"/>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x14ac:dyDescent="0.45">
      <c r="B56" s="264">
        <v>18</v>
      </c>
      <c r="C56" s="556" t="s">
        <v>252</v>
      </c>
      <c r="D56" s="73"/>
      <c r="E56" s="105" t="str">
        <f>IF(D56="","",VLOOKUP(D56,'10. Condition and Temporal'!$B$6:$D$103,3,FALSE))</f>
        <v/>
      </c>
      <c r="F56" s="708"/>
      <c r="G56" s="709"/>
      <c r="H56" s="71"/>
      <c r="I56" s="717"/>
      <c r="J56" s="718"/>
      <c r="K56" s="718"/>
      <c r="L56" s="948" t="str">
        <f t="shared" si="9"/>
        <v/>
      </c>
      <c r="M56" s="949"/>
      <c r="N56" s="950"/>
      <c r="O56" s="74"/>
      <c r="P56" s="12"/>
      <c r="R56" s="653"/>
      <c r="T56" s="662" t="str">
        <f>IF(D56="","",VLOOKUP(D56,'9. All Habitats + Multipliers'!$C$4:$K$102,5,FALSE))</f>
        <v/>
      </c>
      <c r="U56" s="663"/>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x14ac:dyDescent="0.45">
      <c r="B57" s="264">
        <v>19</v>
      </c>
      <c r="C57" s="556" t="s">
        <v>252</v>
      </c>
      <c r="D57" s="73"/>
      <c r="E57" s="105" t="str">
        <f>IF(D57="","",VLOOKUP(D57,'10. Condition and Temporal'!$B$6:$D$103,3,FALSE))</f>
        <v/>
      </c>
      <c r="F57" s="708"/>
      <c r="G57" s="709"/>
      <c r="H57" s="71"/>
      <c r="I57" s="717"/>
      <c r="J57" s="718"/>
      <c r="K57" s="718"/>
      <c r="L57" s="948" t="str">
        <f t="shared" si="9"/>
        <v/>
      </c>
      <c r="M57" s="949"/>
      <c r="N57" s="950"/>
      <c r="O57" s="74"/>
      <c r="P57" s="12"/>
      <c r="R57" s="653"/>
      <c r="T57" s="662" t="str">
        <f>IF(D57="","",VLOOKUP(D57,'9. All Habitats + Multipliers'!$C$4:$K$102,5,FALSE))</f>
        <v/>
      </c>
      <c r="U57" s="663"/>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149999999999999" thickBot="1" x14ac:dyDescent="0.5">
      <c r="B58" s="265">
        <v>20</v>
      </c>
      <c r="C58" s="557" t="s">
        <v>252</v>
      </c>
      <c r="D58" s="135"/>
      <c r="E58" s="136" t="str">
        <f>IF(D58="","",VLOOKUP(D58,'10. Condition and Temporal'!$B$6:$D$103,3,FALSE))</f>
        <v/>
      </c>
      <c r="F58" s="962"/>
      <c r="G58" s="963"/>
      <c r="H58" s="137"/>
      <c r="I58" s="943"/>
      <c r="J58" s="944"/>
      <c r="K58" s="944"/>
      <c r="L58" s="945" t="str">
        <f t="shared" si="9"/>
        <v/>
      </c>
      <c r="M58" s="946"/>
      <c r="N58" s="947"/>
      <c r="O58" s="75"/>
      <c r="P58" s="14"/>
      <c r="R58" s="653"/>
      <c r="T58" s="664" t="str">
        <f>IF(D58="","",VLOOKUP(D58,'9. All Habitats + Multipliers'!$C$4:$K$102,5,FALSE))</f>
        <v/>
      </c>
      <c r="U58" s="665"/>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4.65" thickBot="1" x14ac:dyDescent="0.5">
      <c r="H59" s="269" t="s">
        <v>227</v>
      </c>
      <c r="I59" s="817">
        <f>SUM(I39:K58)</f>
        <v>0</v>
      </c>
      <c r="J59" s="818"/>
      <c r="K59" s="819"/>
      <c r="L59" s="863">
        <f>SUM(L39:N58)</f>
        <v>0</v>
      </c>
      <c r="M59" s="927"/>
      <c r="N59" s="864"/>
      <c r="R59" s="653"/>
      <c r="AJ59" s="157"/>
      <c r="AK59" s="157"/>
      <c r="AL59" s="157"/>
      <c r="AM59" s="157"/>
      <c r="AN59" s="157"/>
    </row>
    <row r="60" spans="1:73" s="25" customFormat="1" x14ac:dyDescent="0.45">
      <c r="R60" s="653"/>
      <c r="AJ60" s="157"/>
      <c r="AK60" s="157"/>
      <c r="AL60" s="157"/>
      <c r="AM60" s="157"/>
      <c r="AN60" s="157"/>
    </row>
    <row r="61" spans="1:73" s="25" customFormat="1" x14ac:dyDescent="0.45">
      <c r="R61" s="653"/>
      <c r="AJ61" s="157"/>
      <c r="AK61" s="157"/>
      <c r="AL61" s="157"/>
      <c r="AM61" s="157"/>
      <c r="AN61" s="157"/>
      <c r="BA61" s="50" t="s">
        <v>117</v>
      </c>
    </row>
    <row r="62" spans="1:73" s="25" customFormat="1" ht="21" x14ac:dyDescent="0.65">
      <c r="B62" s="57" t="s">
        <v>118</v>
      </c>
      <c r="D62" s="88"/>
      <c r="H62" s="26"/>
      <c r="R62" s="653"/>
      <c r="AJ62" s="157"/>
      <c r="AK62" s="157"/>
      <c r="AL62" s="157"/>
      <c r="AM62" s="157"/>
      <c r="AN62" s="157"/>
      <c r="BA62" s="50" t="s">
        <v>119</v>
      </c>
    </row>
    <row r="63" spans="1:73" s="25" customFormat="1" ht="14.65" thickBot="1" x14ac:dyDescent="0.5">
      <c r="A63" s="878"/>
      <c r="R63" s="653"/>
      <c r="AJ63" s="157"/>
      <c r="AK63" s="157"/>
      <c r="AL63" s="157"/>
      <c r="AM63" s="157"/>
      <c r="AN63" s="157"/>
      <c r="BA63" s="928" t="s">
        <v>132</v>
      </c>
    </row>
    <row r="64" spans="1:73" s="25" customFormat="1" ht="16.149999999999999" customHeight="1" thickBot="1" x14ac:dyDescent="0.5">
      <c r="A64" s="878"/>
      <c r="B64" s="685" t="s">
        <v>120</v>
      </c>
      <c r="C64" s="681" t="s">
        <v>121</v>
      </c>
      <c r="D64" s="683"/>
      <c r="E64" s="724" t="s">
        <v>255</v>
      </c>
      <c r="F64" s="725"/>
      <c r="G64" s="726"/>
      <c r="H64" s="667" t="s">
        <v>123</v>
      </c>
      <c r="I64" s="667" t="s">
        <v>256</v>
      </c>
      <c r="J64" s="669" t="s">
        <v>125</v>
      </c>
      <c r="K64" s="669"/>
      <c r="L64" s="681" t="s">
        <v>126</v>
      </c>
      <c r="M64" s="682" t="s">
        <v>127</v>
      </c>
      <c r="N64" s="683"/>
      <c r="O64" s="748" t="s">
        <v>68</v>
      </c>
      <c r="P64" s="749"/>
      <c r="R64" s="653"/>
      <c r="T64" s="660" t="s">
        <v>128</v>
      </c>
      <c r="U64" s="661"/>
      <c r="V64" s="661"/>
      <c r="W64" s="661"/>
      <c r="X64" s="661"/>
      <c r="Y64" s="661"/>
      <c r="Z64" s="661"/>
      <c r="AA64" s="661"/>
      <c r="AB64" s="661"/>
      <c r="AC64" s="661"/>
      <c r="AD64" s="666"/>
      <c r="AE64" s="667" t="s">
        <v>129</v>
      </c>
      <c r="AF64" s="660" t="s">
        <v>130</v>
      </c>
      <c r="AG64" s="661"/>
      <c r="AH64" s="661"/>
      <c r="AI64" s="661"/>
      <c r="AJ64" s="661"/>
      <c r="AK64" s="661"/>
      <c r="AL64" s="661"/>
      <c r="AM64" s="661"/>
      <c r="AN64" s="661"/>
      <c r="AO64" s="661"/>
      <c r="AP64" s="666"/>
      <c r="AQ64" s="813" t="s">
        <v>131</v>
      </c>
      <c r="AR64" s="660" t="s">
        <v>130</v>
      </c>
      <c r="AS64" s="661"/>
      <c r="AT64" s="661"/>
      <c r="AU64" s="661"/>
      <c r="AV64" s="666"/>
      <c r="BA64" s="928"/>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75" customHeight="1" thickBot="1" x14ac:dyDescent="0.5">
      <c r="A65" s="878"/>
      <c r="B65" s="959"/>
      <c r="C65" s="425" t="s">
        <v>133</v>
      </c>
      <c r="D65" s="394" t="s">
        <v>134</v>
      </c>
      <c r="E65" s="392" t="s">
        <v>135</v>
      </c>
      <c r="F65" s="960" t="s">
        <v>136</v>
      </c>
      <c r="G65" s="961"/>
      <c r="H65" s="964"/>
      <c r="I65" s="964"/>
      <c r="J65" s="965"/>
      <c r="K65" s="965"/>
      <c r="L65" s="952"/>
      <c r="M65" s="953"/>
      <c r="N65" s="954"/>
      <c r="O65" s="395" t="s">
        <v>83</v>
      </c>
      <c r="P65" s="394" t="s">
        <v>84</v>
      </c>
      <c r="R65" s="653"/>
      <c r="T65" s="176" t="s">
        <v>137</v>
      </c>
      <c r="U65" s="111" t="s">
        <v>138</v>
      </c>
      <c r="V65" s="112" t="s">
        <v>139</v>
      </c>
      <c r="W65" s="368" t="s">
        <v>140</v>
      </c>
      <c r="X65" s="357" t="s">
        <v>141</v>
      </c>
      <c r="Y65" s="366"/>
      <c r="Z65" s="366"/>
      <c r="AA65" s="366"/>
      <c r="AB65" s="358" t="s">
        <v>142</v>
      </c>
      <c r="AC65" s="367" t="s">
        <v>143</v>
      </c>
      <c r="AD65" s="112" t="s">
        <v>144</v>
      </c>
      <c r="AE65" s="932"/>
      <c r="AF65" s="333" t="s">
        <v>137</v>
      </c>
      <c r="AG65" s="351" t="s">
        <v>85</v>
      </c>
      <c r="AH65" s="350" t="s">
        <v>86</v>
      </c>
      <c r="AI65" s="351" t="s">
        <v>87</v>
      </c>
      <c r="AJ65" s="467" t="s">
        <v>86</v>
      </c>
      <c r="AK65" s="468"/>
      <c r="AL65" s="468"/>
      <c r="AM65" s="468"/>
      <c r="AN65" s="467" t="s">
        <v>71</v>
      </c>
      <c r="AO65" s="353" t="s">
        <v>71</v>
      </c>
      <c r="AP65" s="350" t="s">
        <v>88</v>
      </c>
      <c r="AQ65" s="931"/>
      <c r="AR65" s="350" t="s">
        <v>145</v>
      </c>
      <c r="AS65" s="351" t="s">
        <v>146</v>
      </c>
      <c r="AT65" s="350" t="s">
        <v>147</v>
      </c>
      <c r="AU65" s="352" t="s">
        <v>148</v>
      </c>
      <c r="AV65" s="350" t="s">
        <v>149</v>
      </c>
      <c r="AW65" s="181" t="s">
        <v>150</v>
      </c>
      <c r="AX65" s="480" t="s">
        <v>151</v>
      </c>
      <c r="AY65" s="481" t="s">
        <v>257</v>
      </c>
      <c r="BA65" s="83" t="s">
        <v>153</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75" x14ac:dyDescent="0.45">
      <c r="B66" s="270">
        <v>1</v>
      </c>
      <c r="C66" s="415" t="str">
        <f t="shared" ref="C66:C85" si="13">IF(D66="","",C11)</f>
        <v/>
      </c>
      <c r="D66" s="416" t="str">
        <f>IF(OR(K11="", K11=0),"",D11)</f>
        <v/>
      </c>
      <c r="E66" s="417" t="str">
        <f t="shared" ref="E66:E85" si="14">IF(AX66="","",AX66)</f>
        <v/>
      </c>
      <c r="F66" s="882"/>
      <c r="G66" s="883"/>
      <c r="H66" s="418" t="str">
        <f t="shared" ref="H66:H85" si="15">IF(D66="","",AB66)</f>
        <v/>
      </c>
      <c r="I66" s="423" t="str">
        <f>IF(OR(K11="",K11=0),"",K11)</f>
        <v/>
      </c>
      <c r="J66" s="966" t="str">
        <f>IF(F66="","",VLOOKUP(F66,'10. Condition and Temporal'!$B$6:$F$103,5,FALSE))</f>
        <v/>
      </c>
      <c r="K66" s="967"/>
      <c r="L66" s="295" t="str">
        <f>IFERROR(IF(D66="","",IF(AX66="Distinctiveness",(((((I66*AH66*AJ66*AY66)-(I66*V66*X66))*(AV66*AT66))+(I66*V66*X66))*AP66)/1000,((((I66*AH66*AJ66*AY66)-(I66*V66*X66*AJ11))*(AV66*AR66))+(I66*V66*X66*AJ11))*AP66/1000)),"This intervention is not permitted within the SSM ▲")</f>
        <v/>
      </c>
      <c r="M66" s="899" t="str">
        <f>IFERROR(IF(F66="","",L66-AD66), "Error ▲")</f>
        <v/>
      </c>
      <c r="N66" s="900"/>
      <c r="O66" s="217"/>
      <c r="P66" s="142"/>
      <c r="R66" s="653"/>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157</v>
      </c>
      <c r="BX66" s="95">
        <f>BB64</f>
        <v>0</v>
      </c>
    </row>
    <row r="67" spans="1:76" s="25" customFormat="1" ht="15.75" x14ac:dyDescent="0.45">
      <c r="B67" s="264">
        <v>2</v>
      </c>
      <c r="C67" s="119" t="str">
        <f t="shared" si="13"/>
        <v/>
      </c>
      <c r="D67" s="208" t="str">
        <f t="shared" ref="D67:D85" si="44">IF(OR(K12="", K12=0),"",D12)</f>
        <v/>
      </c>
      <c r="E67" s="166" t="str">
        <f t="shared" si="14"/>
        <v/>
      </c>
      <c r="F67" s="671"/>
      <c r="G67" s="672"/>
      <c r="H67" s="163" t="str">
        <f t="shared" si="15"/>
        <v/>
      </c>
      <c r="I67" s="317" t="str">
        <f t="shared" ref="I67:I85" si="45">IF(OR(K12="",K12=0),"",K12)</f>
        <v/>
      </c>
      <c r="J67" s="955" t="str">
        <f>IF(F67="","",VLOOKUP(F67,'10. Condition and Temporal'!$B$6:$F$103,5,FALSE))</f>
        <v/>
      </c>
      <c r="K67" s="956"/>
      <c r="L67" s="294" t="str">
        <f t="shared" ref="L67:L85" si="46">IFERROR(IF(D67="","",IF(AX67="Distinctiveness",(((((I67*AH67*AJ67*AY67)-(I67*V67*X67))*(AV67*AT67))+(I67*V67*X67))*AP67)/1000,((((I67*AH67*AJ67*AY67)-(I67*V67*X67*AJ12))*(AV67*AR67))+(I67*V67*X67*AJ12))*AP67/1000)),"This intervention is not permitted within the SSM ▲")</f>
        <v/>
      </c>
      <c r="M67" s="949" t="str">
        <f t="shared" ref="M67:M85" si="47">IFERROR(IF(F67="","",L67-AD67), "Error ▲")</f>
        <v/>
      </c>
      <c r="N67" s="950"/>
      <c r="O67" s="74"/>
      <c r="P67" s="12"/>
      <c r="R67" s="653"/>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158</v>
      </c>
      <c r="BX67" s="95">
        <f>BC64</f>
        <v>0</v>
      </c>
    </row>
    <row r="68" spans="1:76" s="25" customFormat="1" ht="15.75" x14ac:dyDescent="0.45">
      <c r="B68" s="264">
        <v>3</v>
      </c>
      <c r="C68" s="119" t="str">
        <f t="shared" si="13"/>
        <v/>
      </c>
      <c r="D68" s="208" t="str">
        <f t="shared" si="44"/>
        <v/>
      </c>
      <c r="E68" s="166" t="str">
        <f t="shared" si="14"/>
        <v/>
      </c>
      <c r="F68" s="671"/>
      <c r="G68" s="672"/>
      <c r="H68" s="163" t="str">
        <f t="shared" si="15"/>
        <v/>
      </c>
      <c r="I68" s="317" t="str">
        <f t="shared" si="45"/>
        <v/>
      </c>
      <c r="J68" s="955" t="str">
        <f>IF(F68="","",VLOOKUP(F68,'10. Condition and Temporal'!$B$6:$F$103,5,FALSE))</f>
        <v/>
      </c>
      <c r="K68" s="956"/>
      <c r="L68" s="294" t="str">
        <f t="shared" si="46"/>
        <v/>
      </c>
      <c r="M68" s="949" t="str">
        <f t="shared" si="47"/>
        <v/>
      </c>
      <c r="N68" s="950"/>
      <c r="O68" s="74"/>
      <c r="P68" s="12"/>
      <c r="R68" s="653"/>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159</v>
      </c>
      <c r="BX68" s="95">
        <f>BD64</f>
        <v>0</v>
      </c>
    </row>
    <row r="69" spans="1:76" s="25" customFormat="1" ht="15.75" x14ac:dyDescent="0.45">
      <c r="B69" s="264">
        <v>4</v>
      </c>
      <c r="C69" s="119" t="str">
        <f t="shared" si="13"/>
        <v/>
      </c>
      <c r="D69" s="208" t="str">
        <f t="shared" si="44"/>
        <v/>
      </c>
      <c r="E69" s="166" t="str">
        <f t="shared" si="14"/>
        <v/>
      </c>
      <c r="F69" s="671"/>
      <c r="G69" s="672"/>
      <c r="H69" s="163" t="str">
        <f t="shared" si="15"/>
        <v/>
      </c>
      <c r="I69" s="317" t="str">
        <f t="shared" si="45"/>
        <v/>
      </c>
      <c r="J69" s="955" t="str">
        <f>IF(F69="","",VLOOKUP(F69,'10. Condition and Temporal'!$B$6:$F$103,5,FALSE))</f>
        <v/>
      </c>
      <c r="K69" s="956"/>
      <c r="L69" s="294" t="str">
        <f t="shared" si="46"/>
        <v/>
      </c>
      <c r="M69" s="949" t="str">
        <f t="shared" si="47"/>
        <v/>
      </c>
      <c r="N69" s="950"/>
      <c r="O69" s="74"/>
      <c r="P69" s="12"/>
      <c r="R69" s="653"/>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160</v>
      </c>
      <c r="BX69" s="95">
        <f>BE64</f>
        <v>0</v>
      </c>
    </row>
    <row r="70" spans="1:76" s="25" customFormat="1" ht="15.75" customHeight="1" x14ac:dyDescent="0.45">
      <c r="B70" s="264">
        <v>5</v>
      </c>
      <c r="C70" s="119" t="str">
        <f t="shared" si="13"/>
        <v/>
      </c>
      <c r="D70" s="208" t="str">
        <f t="shared" si="44"/>
        <v/>
      </c>
      <c r="E70" s="166" t="str">
        <f t="shared" si="14"/>
        <v/>
      </c>
      <c r="F70" s="671"/>
      <c r="G70" s="672"/>
      <c r="H70" s="163" t="str">
        <f t="shared" si="15"/>
        <v/>
      </c>
      <c r="I70" s="317" t="str">
        <f t="shared" si="45"/>
        <v/>
      </c>
      <c r="J70" s="955" t="str">
        <f>IF(F70="","",VLOOKUP(F70,'10. Condition and Temporal'!$B$6:$F$103,5,FALSE))</f>
        <v/>
      </c>
      <c r="K70" s="956"/>
      <c r="L70" s="294" t="str">
        <f t="shared" si="46"/>
        <v/>
      </c>
      <c r="M70" s="949" t="str">
        <f t="shared" si="47"/>
        <v/>
      </c>
      <c r="N70" s="950"/>
      <c r="O70" s="74"/>
      <c r="P70" s="12"/>
      <c r="R70" s="653"/>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161</v>
      </c>
      <c r="BX70" s="95">
        <f>BF64</f>
        <v>0</v>
      </c>
    </row>
    <row r="71" spans="1:76" s="25" customFormat="1" ht="15.75" customHeight="1" x14ac:dyDescent="0.45">
      <c r="B71" s="264">
        <v>6</v>
      </c>
      <c r="C71" s="119" t="str">
        <f t="shared" si="13"/>
        <v/>
      </c>
      <c r="D71" s="208" t="str">
        <f t="shared" si="44"/>
        <v/>
      </c>
      <c r="E71" s="166" t="str">
        <f t="shared" si="14"/>
        <v/>
      </c>
      <c r="F71" s="671"/>
      <c r="G71" s="672"/>
      <c r="H71" s="163" t="str">
        <f t="shared" si="15"/>
        <v/>
      </c>
      <c r="I71" s="317" t="str">
        <f t="shared" si="45"/>
        <v/>
      </c>
      <c r="J71" s="955" t="str">
        <f>IF(F71="","",VLOOKUP(F71,'10. Condition and Temporal'!$B$6:$F$103,5,FALSE))</f>
        <v/>
      </c>
      <c r="K71" s="956"/>
      <c r="L71" s="294" t="str">
        <f t="shared" si="46"/>
        <v/>
      </c>
      <c r="M71" s="949" t="str">
        <f t="shared" si="47"/>
        <v/>
      </c>
      <c r="N71" s="950"/>
      <c r="O71" s="74"/>
      <c r="P71" s="12"/>
      <c r="R71" s="653"/>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162</v>
      </c>
      <c r="BX71" s="95">
        <f>BG64</f>
        <v>0</v>
      </c>
    </row>
    <row r="72" spans="1:76" s="25" customFormat="1" ht="15.75" customHeight="1" x14ac:dyDescent="0.45">
      <c r="B72" s="264">
        <v>7</v>
      </c>
      <c r="C72" s="119" t="str">
        <f t="shared" si="13"/>
        <v/>
      </c>
      <c r="D72" s="208" t="str">
        <f t="shared" si="44"/>
        <v/>
      </c>
      <c r="E72" s="166" t="str">
        <f t="shared" si="14"/>
        <v/>
      </c>
      <c r="F72" s="671"/>
      <c r="G72" s="672"/>
      <c r="H72" s="163" t="str">
        <f t="shared" si="15"/>
        <v/>
      </c>
      <c r="I72" s="317" t="str">
        <f t="shared" si="45"/>
        <v/>
      </c>
      <c r="J72" s="955" t="str">
        <f>IF(F72="","",VLOOKUP(F72,'10. Condition and Temporal'!$B$6:$F$103,5,FALSE))</f>
        <v/>
      </c>
      <c r="K72" s="956"/>
      <c r="L72" s="294" t="str">
        <f t="shared" si="46"/>
        <v/>
      </c>
      <c r="M72" s="949" t="str">
        <f t="shared" si="47"/>
        <v/>
      </c>
      <c r="N72" s="950"/>
      <c r="O72" s="74"/>
      <c r="P72" s="12"/>
      <c r="R72" s="653"/>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163</v>
      </c>
      <c r="BX72" s="95">
        <f>BH64</f>
        <v>0</v>
      </c>
    </row>
    <row r="73" spans="1:76" s="25" customFormat="1" ht="15.75" x14ac:dyDescent="0.45">
      <c r="B73" s="264">
        <v>8</v>
      </c>
      <c r="C73" s="119" t="str">
        <f t="shared" si="13"/>
        <v/>
      </c>
      <c r="D73" s="208" t="str">
        <f t="shared" si="44"/>
        <v/>
      </c>
      <c r="E73" s="166" t="str">
        <f t="shared" si="14"/>
        <v/>
      </c>
      <c r="F73" s="671"/>
      <c r="G73" s="672"/>
      <c r="H73" s="163" t="str">
        <f t="shared" si="15"/>
        <v/>
      </c>
      <c r="I73" s="317" t="str">
        <f t="shared" si="45"/>
        <v/>
      </c>
      <c r="J73" s="955" t="str">
        <f>IF(F73="","",VLOOKUP(F73,'10. Condition and Temporal'!$B$6:$F$103,5,FALSE))</f>
        <v/>
      </c>
      <c r="K73" s="956"/>
      <c r="L73" s="294" t="str">
        <f t="shared" si="46"/>
        <v/>
      </c>
      <c r="M73" s="949" t="str">
        <f t="shared" si="47"/>
        <v/>
      </c>
      <c r="N73" s="950"/>
      <c r="O73" s="74"/>
      <c r="P73" s="12"/>
      <c r="R73" s="653"/>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164</v>
      </c>
      <c r="BX73" s="95">
        <f>BI64</f>
        <v>0</v>
      </c>
    </row>
    <row r="74" spans="1:76" s="25" customFormat="1" ht="15.75" customHeight="1" x14ac:dyDescent="0.45">
      <c r="B74" s="264">
        <v>9</v>
      </c>
      <c r="C74" s="119" t="str">
        <f t="shared" si="13"/>
        <v/>
      </c>
      <c r="D74" s="208" t="str">
        <f t="shared" si="44"/>
        <v/>
      </c>
      <c r="E74" s="166" t="str">
        <f t="shared" si="14"/>
        <v/>
      </c>
      <c r="F74" s="671"/>
      <c r="G74" s="672"/>
      <c r="H74" s="163" t="str">
        <f t="shared" si="15"/>
        <v/>
      </c>
      <c r="I74" s="317" t="str">
        <f t="shared" si="45"/>
        <v/>
      </c>
      <c r="J74" s="955" t="str">
        <f>IF(F74="","",VLOOKUP(F74,'10. Condition and Temporal'!$B$6:$F$103,5,FALSE))</f>
        <v/>
      </c>
      <c r="K74" s="956"/>
      <c r="L74" s="294" t="str">
        <f t="shared" si="46"/>
        <v/>
      </c>
      <c r="M74" s="949" t="str">
        <f t="shared" si="47"/>
        <v/>
      </c>
      <c r="N74" s="950"/>
      <c r="O74" s="74"/>
      <c r="P74" s="12"/>
      <c r="R74" s="653"/>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165</v>
      </c>
      <c r="BX74" s="95">
        <f>BJ64</f>
        <v>0</v>
      </c>
    </row>
    <row r="75" spans="1:76" s="25" customFormat="1" ht="15.75" customHeight="1" x14ac:dyDescent="0.45">
      <c r="B75" s="264">
        <v>10</v>
      </c>
      <c r="C75" s="119" t="str">
        <f t="shared" si="13"/>
        <v/>
      </c>
      <c r="D75" s="208" t="str">
        <f t="shared" si="44"/>
        <v/>
      </c>
      <c r="E75" s="166" t="str">
        <f t="shared" si="14"/>
        <v/>
      </c>
      <c r="F75" s="671"/>
      <c r="G75" s="672"/>
      <c r="H75" s="163" t="str">
        <f t="shared" si="15"/>
        <v/>
      </c>
      <c r="I75" s="317" t="str">
        <f t="shared" si="45"/>
        <v/>
      </c>
      <c r="J75" s="955" t="str">
        <f>IF(F75="","",VLOOKUP(F75,'10. Condition and Temporal'!$B$6:$F$103,5,FALSE))</f>
        <v/>
      </c>
      <c r="K75" s="956"/>
      <c r="L75" s="294" t="str">
        <f t="shared" si="46"/>
        <v/>
      </c>
      <c r="M75" s="949" t="str">
        <f t="shared" si="47"/>
        <v/>
      </c>
      <c r="N75" s="950"/>
      <c r="O75" s="74"/>
      <c r="P75" s="12"/>
      <c r="R75" s="653"/>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166</v>
      </c>
      <c r="BX75" s="95">
        <f>BK64</f>
        <v>0</v>
      </c>
    </row>
    <row r="76" spans="1:76" s="25" customFormat="1" ht="15.75" x14ac:dyDescent="0.45">
      <c r="B76" s="264">
        <v>11</v>
      </c>
      <c r="C76" s="119" t="str">
        <f t="shared" si="13"/>
        <v/>
      </c>
      <c r="D76" s="208" t="str">
        <f t="shared" si="44"/>
        <v/>
      </c>
      <c r="E76" s="166" t="str">
        <f t="shared" si="14"/>
        <v/>
      </c>
      <c r="F76" s="671"/>
      <c r="G76" s="672"/>
      <c r="H76" s="163" t="str">
        <f t="shared" si="15"/>
        <v/>
      </c>
      <c r="I76" s="317" t="str">
        <f t="shared" si="45"/>
        <v/>
      </c>
      <c r="J76" s="955" t="str">
        <f>IF(F76="","",VLOOKUP(F76,'10. Condition and Temporal'!$B$6:$F$103,5,FALSE))</f>
        <v/>
      </c>
      <c r="K76" s="956"/>
      <c r="L76" s="294" t="str">
        <f t="shared" si="46"/>
        <v/>
      </c>
      <c r="M76" s="949" t="str">
        <f t="shared" si="47"/>
        <v/>
      </c>
      <c r="N76" s="950"/>
      <c r="O76" s="74"/>
      <c r="P76" s="12"/>
      <c r="R76" s="653"/>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167</v>
      </c>
      <c r="BX76" s="95">
        <f>BL64</f>
        <v>0</v>
      </c>
    </row>
    <row r="77" spans="1:76" s="25" customFormat="1" ht="15.75" customHeight="1" x14ac:dyDescent="0.45">
      <c r="B77" s="264">
        <v>12</v>
      </c>
      <c r="C77" s="119" t="str">
        <f t="shared" si="13"/>
        <v/>
      </c>
      <c r="D77" s="208" t="str">
        <f t="shared" si="44"/>
        <v/>
      </c>
      <c r="E77" s="166" t="str">
        <f t="shared" si="14"/>
        <v/>
      </c>
      <c r="F77" s="671"/>
      <c r="G77" s="672"/>
      <c r="H77" s="163" t="str">
        <f t="shared" si="15"/>
        <v/>
      </c>
      <c r="I77" s="317" t="str">
        <f t="shared" si="45"/>
        <v/>
      </c>
      <c r="J77" s="955" t="str">
        <f>IF(F77="","",VLOOKUP(F77,'10. Condition and Temporal'!$B$6:$F$103,5,FALSE))</f>
        <v/>
      </c>
      <c r="K77" s="956"/>
      <c r="L77" s="294" t="str">
        <f t="shared" si="46"/>
        <v/>
      </c>
      <c r="M77" s="949" t="str">
        <f t="shared" si="47"/>
        <v/>
      </c>
      <c r="N77" s="950"/>
      <c r="O77" s="74"/>
      <c r="P77" s="12"/>
      <c r="R77" s="653"/>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168</v>
      </c>
      <c r="BX77" s="95">
        <f>BM64</f>
        <v>0</v>
      </c>
    </row>
    <row r="78" spans="1:76" s="25" customFormat="1" ht="15.75" customHeight="1" x14ac:dyDescent="0.45">
      <c r="B78" s="264">
        <v>13</v>
      </c>
      <c r="C78" s="119" t="str">
        <f t="shared" si="13"/>
        <v/>
      </c>
      <c r="D78" s="208" t="str">
        <f t="shared" si="44"/>
        <v/>
      </c>
      <c r="E78" s="166" t="str">
        <f t="shared" si="14"/>
        <v/>
      </c>
      <c r="F78" s="671"/>
      <c r="G78" s="672"/>
      <c r="H78" s="163" t="str">
        <f t="shared" si="15"/>
        <v/>
      </c>
      <c r="I78" s="317" t="str">
        <f t="shared" si="45"/>
        <v/>
      </c>
      <c r="J78" s="955" t="str">
        <f>IF(F78="","",VLOOKUP(F78,'10. Condition and Temporal'!$B$6:$F$103,5,FALSE))</f>
        <v/>
      </c>
      <c r="K78" s="956"/>
      <c r="L78" s="294" t="str">
        <f t="shared" si="46"/>
        <v/>
      </c>
      <c r="M78" s="949" t="str">
        <f t="shared" si="47"/>
        <v/>
      </c>
      <c r="N78" s="950"/>
      <c r="O78" s="74"/>
      <c r="P78" s="12"/>
      <c r="R78" s="653"/>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169</v>
      </c>
      <c r="BX78" s="95">
        <f>BN64</f>
        <v>0</v>
      </c>
    </row>
    <row r="79" spans="1:76" s="25" customFormat="1" ht="15.75" x14ac:dyDescent="0.45">
      <c r="B79" s="264">
        <v>14</v>
      </c>
      <c r="C79" s="119" t="str">
        <f t="shared" si="13"/>
        <v/>
      </c>
      <c r="D79" s="208" t="str">
        <f t="shared" si="44"/>
        <v/>
      </c>
      <c r="E79" s="166" t="str">
        <f t="shared" si="14"/>
        <v/>
      </c>
      <c r="F79" s="671"/>
      <c r="G79" s="672"/>
      <c r="H79" s="163" t="str">
        <f t="shared" si="15"/>
        <v/>
      </c>
      <c r="I79" s="317" t="str">
        <f t="shared" si="45"/>
        <v/>
      </c>
      <c r="J79" s="955" t="str">
        <f>IF(F79="","",VLOOKUP(F79,'10. Condition and Temporal'!$B$6:$F$103,5,FALSE))</f>
        <v/>
      </c>
      <c r="K79" s="956"/>
      <c r="L79" s="294" t="str">
        <f t="shared" si="46"/>
        <v/>
      </c>
      <c r="M79" s="949" t="str">
        <f t="shared" si="47"/>
        <v/>
      </c>
      <c r="N79" s="950"/>
      <c r="O79" s="74"/>
      <c r="P79" s="12"/>
      <c r="R79" s="653"/>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170</v>
      </c>
      <c r="BX79" s="95">
        <f>BO64</f>
        <v>0</v>
      </c>
    </row>
    <row r="80" spans="1:76" s="25" customFormat="1" ht="15.75" customHeight="1" x14ac:dyDescent="0.45">
      <c r="B80" s="264">
        <v>15</v>
      </c>
      <c r="C80" s="119" t="str">
        <f t="shared" si="13"/>
        <v/>
      </c>
      <c r="D80" s="208" t="str">
        <f t="shared" si="44"/>
        <v/>
      </c>
      <c r="E80" s="166" t="str">
        <f t="shared" si="14"/>
        <v/>
      </c>
      <c r="F80" s="671"/>
      <c r="G80" s="672"/>
      <c r="H80" s="163" t="str">
        <f t="shared" si="15"/>
        <v/>
      </c>
      <c r="I80" s="317" t="str">
        <f t="shared" si="45"/>
        <v/>
      </c>
      <c r="J80" s="955" t="str">
        <f>IF(F80="","",VLOOKUP(F80,'10. Condition and Temporal'!$B$6:$F$103,5,FALSE))</f>
        <v/>
      </c>
      <c r="K80" s="956"/>
      <c r="L80" s="294" t="str">
        <f t="shared" si="46"/>
        <v/>
      </c>
      <c r="M80" s="949" t="str">
        <f t="shared" si="47"/>
        <v/>
      </c>
      <c r="N80" s="950"/>
      <c r="O80" s="74"/>
      <c r="P80" s="12"/>
      <c r="R80" s="653"/>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171</v>
      </c>
      <c r="BX80" s="95">
        <f>BP64</f>
        <v>0</v>
      </c>
    </row>
    <row r="81" spans="1:76" s="25" customFormat="1" ht="15.75" customHeight="1" x14ac:dyDescent="0.45">
      <c r="B81" s="264">
        <v>16</v>
      </c>
      <c r="C81" s="119" t="str">
        <f t="shared" si="13"/>
        <v/>
      </c>
      <c r="D81" s="208" t="str">
        <f t="shared" si="44"/>
        <v/>
      </c>
      <c r="E81" s="166" t="str">
        <f t="shared" si="14"/>
        <v/>
      </c>
      <c r="F81" s="671"/>
      <c r="G81" s="672"/>
      <c r="H81" s="163" t="str">
        <f t="shared" si="15"/>
        <v/>
      </c>
      <c r="I81" s="317" t="str">
        <f t="shared" si="45"/>
        <v/>
      </c>
      <c r="J81" s="955" t="str">
        <f>IF(F81="","",VLOOKUP(F81,'10. Condition and Temporal'!$B$6:$F$103,5,FALSE))</f>
        <v/>
      </c>
      <c r="K81" s="956"/>
      <c r="L81" s="294" t="str">
        <f t="shared" si="46"/>
        <v/>
      </c>
      <c r="M81" s="949" t="str">
        <f t="shared" si="47"/>
        <v/>
      </c>
      <c r="N81" s="950"/>
      <c r="O81" s="74"/>
      <c r="P81" s="12"/>
      <c r="R81" s="653"/>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172</v>
      </c>
      <c r="BX81" s="95">
        <f>BQ64</f>
        <v>0</v>
      </c>
    </row>
    <row r="82" spans="1:76" s="25" customFormat="1" ht="15.75" x14ac:dyDescent="0.45">
      <c r="B82" s="264">
        <v>17</v>
      </c>
      <c r="C82" s="119" t="str">
        <f t="shared" si="13"/>
        <v/>
      </c>
      <c r="D82" s="208" t="str">
        <f t="shared" si="44"/>
        <v/>
      </c>
      <c r="E82" s="166" t="str">
        <f t="shared" si="14"/>
        <v/>
      </c>
      <c r="F82" s="671"/>
      <c r="G82" s="672"/>
      <c r="H82" s="163" t="str">
        <f t="shared" si="15"/>
        <v/>
      </c>
      <c r="I82" s="317" t="str">
        <f t="shared" si="45"/>
        <v/>
      </c>
      <c r="J82" s="955" t="str">
        <f>IF(F82="","",VLOOKUP(F82,'10. Condition and Temporal'!$B$6:$F$103,5,FALSE))</f>
        <v/>
      </c>
      <c r="K82" s="956"/>
      <c r="L82" s="294" t="str">
        <f t="shared" si="46"/>
        <v/>
      </c>
      <c r="M82" s="949" t="str">
        <f t="shared" si="47"/>
        <v/>
      </c>
      <c r="N82" s="950"/>
      <c r="O82" s="74"/>
      <c r="P82" s="12"/>
      <c r="R82" s="653"/>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173</v>
      </c>
      <c r="BX82" s="95">
        <f>BR64</f>
        <v>0</v>
      </c>
    </row>
    <row r="83" spans="1:76" s="25" customFormat="1" ht="15.75" customHeight="1" x14ac:dyDescent="0.45">
      <c r="B83" s="264">
        <v>18</v>
      </c>
      <c r="C83" s="119" t="str">
        <f t="shared" si="13"/>
        <v/>
      </c>
      <c r="D83" s="208" t="str">
        <f t="shared" si="44"/>
        <v/>
      </c>
      <c r="E83" s="166" t="str">
        <f t="shared" si="14"/>
        <v/>
      </c>
      <c r="F83" s="671"/>
      <c r="G83" s="672"/>
      <c r="H83" s="163" t="str">
        <f t="shared" si="15"/>
        <v/>
      </c>
      <c r="I83" s="317" t="str">
        <f t="shared" si="45"/>
        <v/>
      </c>
      <c r="J83" s="955" t="str">
        <f>IF(F83="","",VLOOKUP(F83,'10. Condition and Temporal'!$B$6:$F$103,5,FALSE))</f>
        <v/>
      </c>
      <c r="K83" s="956"/>
      <c r="L83" s="294" t="str">
        <f t="shared" si="46"/>
        <v/>
      </c>
      <c r="M83" s="949" t="str">
        <f t="shared" si="47"/>
        <v/>
      </c>
      <c r="N83" s="950"/>
      <c r="O83" s="74"/>
      <c r="P83" s="12"/>
      <c r="R83" s="653"/>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174</v>
      </c>
      <c r="BX83" s="95">
        <f>BS64</f>
        <v>0</v>
      </c>
    </row>
    <row r="84" spans="1:76" s="25" customFormat="1" ht="15.75" customHeight="1" x14ac:dyDescent="0.45">
      <c r="B84" s="264">
        <v>19</v>
      </c>
      <c r="C84" s="119" t="str">
        <f t="shared" si="13"/>
        <v/>
      </c>
      <c r="D84" s="208" t="str">
        <f t="shared" si="44"/>
        <v/>
      </c>
      <c r="E84" s="166" t="str">
        <f t="shared" si="14"/>
        <v/>
      </c>
      <c r="F84" s="671"/>
      <c r="G84" s="672"/>
      <c r="H84" s="163" t="str">
        <f t="shared" si="15"/>
        <v/>
      </c>
      <c r="I84" s="317" t="str">
        <f t="shared" si="45"/>
        <v/>
      </c>
      <c r="J84" s="955" t="str">
        <f>IF(F84="","",VLOOKUP(F84,'10. Condition and Temporal'!$B$6:$F$103,5,FALSE))</f>
        <v/>
      </c>
      <c r="K84" s="956"/>
      <c r="L84" s="294" t="str">
        <f t="shared" si="46"/>
        <v/>
      </c>
      <c r="M84" s="949" t="str">
        <f t="shared" si="47"/>
        <v/>
      </c>
      <c r="N84" s="950"/>
      <c r="O84" s="74"/>
      <c r="P84" s="12"/>
      <c r="R84" s="653"/>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175</v>
      </c>
      <c r="BX84" s="95">
        <f>BT64</f>
        <v>0</v>
      </c>
    </row>
    <row r="85" spans="1:76" s="25" customFormat="1" ht="16.149999999999999" thickBot="1" x14ac:dyDescent="0.5">
      <c r="B85" s="265">
        <v>20</v>
      </c>
      <c r="C85" s="138" t="str">
        <f t="shared" si="13"/>
        <v/>
      </c>
      <c r="D85" s="420" t="str">
        <f t="shared" si="44"/>
        <v/>
      </c>
      <c r="E85" s="167" t="str">
        <f t="shared" si="14"/>
        <v/>
      </c>
      <c r="F85" s="675"/>
      <c r="G85" s="676"/>
      <c r="H85" s="164" t="str">
        <f t="shared" si="15"/>
        <v/>
      </c>
      <c r="I85" s="424" t="str">
        <f t="shared" si="45"/>
        <v/>
      </c>
      <c r="J85" s="957" t="str">
        <f>IF(F85="","",VLOOKUP(F85,'10. Condition and Temporal'!$B$6:$F$103,5,FALSE))</f>
        <v/>
      </c>
      <c r="K85" s="958"/>
      <c r="L85" s="292" t="str">
        <f t="shared" si="46"/>
        <v/>
      </c>
      <c r="M85" s="946" t="str">
        <f t="shared" si="47"/>
        <v/>
      </c>
      <c r="N85" s="947"/>
      <c r="O85" s="75"/>
      <c r="P85" s="14"/>
      <c r="R85" s="653"/>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176</v>
      </c>
      <c r="BX85" s="95">
        <f>BU64</f>
        <v>0</v>
      </c>
    </row>
    <row r="86" spans="1:76" s="25" customFormat="1" ht="14.65" thickBot="1" x14ac:dyDescent="0.5">
      <c r="H86" s="268" t="s">
        <v>227</v>
      </c>
      <c r="I86" s="322">
        <f>SUM(I66:I85)</f>
        <v>0</v>
      </c>
      <c r="J86" s="414"/>
      <c r="L86" s="422">
        <f>SUM(L66:L85)</f>
        <v>0</v>
      </c>
      <c r="M86" s="697">
        <f>SUM(M66:N85)</f>
        <v>0</v>
      </c>
      <c r="N86" s="698"/>
      <c r="R86" s="653"/>
      <c r="AJ86" s="157"/>
      <c r="AK86" s="157"/>
      <c r="AL86" s="157"/>
      <c r="AM86" s="157"/>
      <c r="AN86" s="157"/>
    </row>
    <row r="87" spans="1:76" s="25" customFormat="1" x14ac:dyDescent="0.45">
      <c r="C87" s="26"/>
      <c r="R87" s="653"/>
      <c r="AJ87" s="157"/>
      <c r="AK87" s="157"/>
      <c r="AL87" s="157"/>
      <c r="AM87" s="157"/>
      <c r="AN87" s="157"/>
    </row>
    <row r="88" spans="1:76" s="25" customFormat="1" x14ac:dyDescent="0.45">
      <c r="R88" s="653"/>
      <c r="AJ88" s="157"/>
      <c r="AK88" s="157"/>
      <c r="AL88" s="157"/>
      <c r="AM88" s="157"/>
      <c r="AN88" s="157"/>
    </row>
    <row r="89" spans="1:76" s="25" customFormat="1" ht="19.149999999999999" customHeight="1" x14ac:dyDescent="0.45">
      <c r="R89" s="653"/>
      <c r="AJ89" s="157"/>
      <c r="AK89" s="157"/>
      <c r="AL89" s="157"/>
      <c r="AM89" s="157"/>
      <c r="AN89" s="157"/>
    </row>
    <row r="90" spans="1:76" s="25" customFormat="1" x14ac:dyDescent="0.45">
      <c r="R90" s="653"/>
      <c r="AJ90" s="157"/>
      <c r="AK90" s="157"/>
      <c r="AL90" s="157"/>
      <c r="AM90" s="157"/>
      <c r="AN90" s="157"/>
    </row>
    <row r="91" spans="1:76" s="25" customFormat="1" x14ac:dyDescent="0.45">
      <c r="A91" s="731" t="s">
        <v>191</v>
      </c>
      <c r="B91" s="731"/>
      <c r="C91" s="731"/>
      <c r="D91" s="731"/>
      <c r="E91" s="731"/>
      <c r="F91" s="731"/>
      <c r="G91" s="731"/>
      <c r="H91" s="731"/>
      <c r="I91" s="731"/>
      <c r="J91" s="731"/>
      <c r="K91" s="731"/>
      <c r="L91" s="731"/>
      <c r="M91" s="731"/>
      <c r="N91" s="731"/>
      <c r="O91" s="731"/>
      <c r="P91" s="731"/>
      <c r="Q91" s="731"/>
      <c r="R91" s="653"/>
      <c r="AJ91" s="157"/>
      <c r="AK91" s="157"/>
      <c r="AL91" s="157"/>
      <c r="AM91" s="157"/>
      <c r="AN91" s="157"/>
    </row>
    <row r="92" spans="1:76" s="25" customFormat="1" x14ac:dyDescent="0.45">
      <c r="A92" s="731"/>
      <c r="B92" s="731"/>
      <c r="C92" s="731"/>
      <c r="D92" s="731"/>
      <c r="E92" s="731"/>
      <c r="F92" s="731"/>
      <c r="G92" s="731"/>
      <c r="H92" s="731"/>
      <c r="I92" s="731"/>
      <c r="J92" s="731"/>
      <c r="K92" s="731"/>
      <c r="L92" s="731"/>
      <c r="M92" s="731"/>
      <c r="N92" s="731"/>
      <c r="O92" s="731"/>
      <c r="P92" s="731"/>
      <c r="Q92" s="731"/>
      <c r="R92" s="653"/>
      <c r="AJ92" s="157"/>
      <c r="AK92" s="157"/>
      <c r="AL92" s="157"/>
      <c r="AM92" s="157"/>
      <c r="AN92" s="157"/>
    </row>
    <row r="93" spans="1:76" s="25" customFormat="1" x14ac:dyDescent="0.45">
      <c r="A93" s="731"/>
      <c r="B93" s="731"/>
      <c r="C93" s="731"/>
      <c r="D93" s="731"/>
      <c r="E93" s="731"/>
      <c r="F93" s="731"/>
      <c r="G93" s="731"/>
      <c r="H93" s="731"/>
      <c r="I93" s="731"/>
      <c r="J93" s="731"/>
      <c r="K93" s="731"/>
      <c r="L93" s="731"/>
      <c r="M93" s="731"/>
      <c r="N93" s="731"/>
      <c r="O93" s="731"/>
      <c r="P93" s="731"/>
      <c r="Q93" s="731"/>
      <c r="R93" s="653"/>
      <c r="AJ93" s="157"/>
      <c r="AK93" s="157"/>
      <c r="AL93" s="157"/>
      <c r="AM93" s="157"/>
      <c r="AN93" s="157"/>
    </row>
    <row r="94" spans="1:76" s="25" customFormat="1" x14ac:dyDescent="0.45">
      <c r="R94" s="653"/>
      <c r="AJ94" s="157"/>
      <c r="AK94" s="157"/>
      <c r="AL94" s="157"/>
      <c r="AM94" s="157"/>
      <c r="AN94" s="157"/>
    </row>
    <row r="95" spans="1:76" s="25" customFormat="1" ht="21" x14ac:dyDescent="0.65">
      <c r="C95" s="57" t="s">
        <v>192</v>
      </c>
      <c r="D95" s="26"/>
      <c r="E95" s="26"/>
      <c r="F95" s="26"/>
      <c r="G95" s="26"/>
      <c r="R95" s="653"/>
      <c r="AJ95" s="157"/>
      <c r="AK95" s="157"/>
      <c r="AL95" s="157"/>
      <c r="AM95" s="157"/>
      <c r="AN95" s="157"/>
    </row>
    <row r="96" spans="1:76" s="25" customFormat="1" ht="14.65" thickBot="1" x14ac:dyDescent="0.5">
      <c r="R96" s="653"/>
      <c r="AJ96" s="157"/>
      <c r="AK96" s="157"/>
      <c r="AL96" s="157"/>
      <c r="AM96" s="157"/>
      <c r="AN96" s="157"/>
    </row>
    <row r="97" spans="3:40" s="25" customFormat="1" ht="36.75" customHeight="1" thickBot="1" x14ac:dyDescent="0.5">
      <c r="C97" s="871" t="s">
        <v>232</v>
      </c>
      <c r="D97" s="873"/>
      <c r="E97" s="874" t="str" cm="1">
        <f t="array" aca="1" ref="E97" ca="1">IF(OR(I103:I106="No ▲"),"Error - Trading Rules Not Satisfied ▲","Trading Rules Satisfied ✓")</f>
        <v>Trading Rules Satisfied ✓</v>
      </c>
      <c r="F97" s="874"/>
      <c r="G97" s="874"/>
      <c r="H97" s="874"/>
      <c r="I97" s="875"/>
      <c r="J97" s="157">
        <f ca="1">IFERROR(FIND("Error",E97),0)</f>
        <v>0</v>
      </c>
      <c r="R97" s="653"/>
      <c r="AJ97" s="157"/>
      <c r="AK97" s="157"/>
      <c r="AL97" s="157"/>
      <c r="AM97" s="157"/>
      <c r="AN97" s="157"/>
    </row>
    <row r="98" spans="3:40" s="25" customFormat="1" x14ac:dyDescent="0.45">
      <c r="R98" s="653"/>
      <c r="AJ98" s="157"/>
      <c r="AK98" s="157"/>
      <c r="AL98" s="157"/>
      <c r="AM98" s="157"/>
      <c r="AN98" s="157"/>
    </row>
    <row r="99" spans="3:40" s="25" customFormat="1" ht="21" x14ac:dyDescent="0.65">
      <c r="C99" s="57" t="s">
        <v>195</v>
      </c>
      <c r="R99" s="653"/>
      <c r="AJ99" s="157"/>
      <c r="AK99" s="157"/>
      <c r="AL99" s="157"/>
      <c r="AM99" s="157"/>
      <c r="AN99" s="157"/>
    </row>
    <row r="100" spans="3:40" s="25" customFormat="1" x14ac:dyDescent="0.45">
      <c r="R100" s="653"/>
      <c r="AJ100" s="157"/>
      <c r="AK100" s="157"/>
      <c r="AL100" s="157"/>
      <c r="AM100" s="157"/>
      <c r="AN100" s="157"/>
    </row>
    <row r="101" spans="3:40" s="25" customFormat="1" ht="14.65" thickBot="1" x14ac:dyDescent="0.5">
      <c r="J101" s="430"/>
      <c r="R101" s="653"/>
      <c r="AJ101" s="157"/>
      <c r="AK101" s="157"/>
      <c r="AL101" s="157"/>
      <c r="AM101" s="157"/>
      <c r="AN101" s="157"/>
    </row>
    <row r="102" spans="3:40" s="25" customFormat="1" ht="40.5" customHeight="1" thickBot="1" x14ac:dyDescent="0.5">
      <c r="C102" s="450" t="s">
        <v>133</v>
      </c>
      <c r="D102" s="440" t="s">
        <v>85</v>
      </c>
      <c r="E102" s="440" t="s">
        <v>258</v>
      </c>
      <c r="F102" s="440" t="s">
        <v>198</v>
      </c>
      <c r="G102" s="440" t="s">
        <v>199</v>
      </c>
      <c r="H102" s="440" t="s">
        <v>200</v>
      </c>
      <c r="I102" s="441" t="s">
        <v>201</v>
      </c>
      <c r="J102" s="431"/>
      <c r="R102" s="653"/>
      <c r="AJ102" s="157"/>
      <c r="AK102" s="157"/>
      <c r="AL102" s="157"/>
      <c r="AM102" s="157"/>
      <c r="AN102" s="157"/>
    </row>
    <row r="103" spans="3:40" s="25" customFormat="1" ht="30" customHeight="1" x14ac:dyDescent="0.45">
      <c r="C103" s="976" t="s">
        <v>252</v>
      </c>
      <c r="D103" s="924" t="s">
        <v>215</v>
      </c>
      <c r="E103" s="442" t="s">
        <v>259</v>
      </c>
      <c r="F103" s="443">
        <f ca="1">SUMIF($D$11:$E$30, $E$103, $L$11:$L$30)</f>
        <v>0</v>
      </c>
      <c r="G103" s="443">
        <f>IF($I$59+$I$86+$P$1=0,0,SUMIF($D$39:$D$58,$E$103,$L$39:$N$58)+SUMIF($F$66:$G$85,$E$103,$L$66:$L$85)+SUMIF($D$11:$E$30,$E$103,$AE$11:$AE$30))</f>
        <v>0</v>
      </c>
      <c r="H103" s="443">
        <f ca="1">$G$103-$F$103</f>
        <v>0</v>
      </c>
      <c r="I103" s="855" t="str">
        <f ca="1">IF(AND($H$103&gt;=0, H104&gt;=0),"Yes ✓", "No ▲")</f>
        <v>Yes ✓</v>
      </c>
      <c r="J103" s="431"/>
      <c r="R103" s="653"/>
      <c r="AJ103" s="157"/>
      <c r="AK103" s="157"/>
      <c r="AL103" s="157"/>
      <c r="AM103" s="157"/>
      <c r="AN103" s="157"/>
    </row>
    <row r="104" spans="3:40" s="25" customFormat="1" ht="30" customHeight="1" x14ac:dyDescent="0.45">
      <c r="C104" s="977"/>
      <c r="D104" s="915"/>
      <c r="E104" s="428" t="s">
        <v>260</v>
      </c>
      <c r="F104" s="429">
        <f ca="1">SUMIF($D$11:$E$30,$E$104,$L$11:$L$30)</f>
        <v>0</v>
      </c>
      <c r="G104" s="429">
        <f>IF($I$59+$I$86+$P$1=0,0,SUMIF($D$39:$D$58,$E$104,$L$39:$N$58)+SUMIF($F$66:$G$85,$E$104,$L$66:$L$85)+SUMIF($D$11:$E$30,$E$104,$AE$11:$AE$30))</f>
        <v>0</v>
      </c>
      <c r="H104" s="429">
        <f ca="1">$G$104-$F$104</f>
        <v>0</v>
      </c>
      <c r="I104" s="856"/>
      <c r="J104" s="431"/>
      <c r="R104" s="653"/>
      <c r="AJ104" s="157"/>
      <c r="AK104" s="157"/>
      <c r="AL104" s="157"/>
      <c r="AM104" s="157"/>
      <c r="AN104" s="157"/>
    </row>
    <row r="105" spans="3:40" s="25" customFormat="1" ht="30" customHeight="1" thickBot="1" x14ac:dyDescent="0.5">
      <c r="C105" s="977"/>
      <c r="D105" s="917"/>
      <c r="E105" s="444" t="s">
        <v>238</v>
      </c>
      <c r="F105" s="445">
        <f ca="1">SUM(F103:F104)</f>
        <v>0</v>
      </c>
      <c r="G105" s="445">
        <f>SUM(G103:G104)</f>
        <v>0</v>
      </c>
      <c r="H105" s="445">
        <f ca="1">SUM($H$103:$H$104)</f>
        <v>0</v>
      </c>
      <c r="I105" s="857"/>
      <c r="J105" s="157">
        <f ca="1">IF($I$103= "No ▲",1,0)</f>
        <v>0</v>
      </c>
      <c r="R105" s="653"/>
      <c r="AJ105" s="157"/>
      <c r="AK105" s="157"/>
      <c r="AL105" s="157"/>
      <c r="AM105" s="157"/>
      <c r="AN105" s="157"/>
    </row>
    <row r="106" spans="3:40" s="25" customFormat="1" ht="30" customHeight="1" thickBot="1" x14ac:dyDescent="0.5">
      <c r="C106" s="978"/>
      <c r="D106" s="446" t="s">
        <v>216</v>
      </c>
      <c r="E106" s="447" t="s">
        <v>261</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3"/>
      <c r="AJ106" s="157"/>
      <c r="AK106" s="157"/>
      <c r="AL106" s="157"/>
      <c r="AM106" s="157"/>
      <c r="AN106" s="157"/>
    </row>
    <row r="107" spans="3:40" s="25" customFormat="1" ht="12" customHeight="1" thickBot="1" x14ac:dyDescent="0.5">
      <c r="G107" s="434">
        <f ca="1">IF(H105&gt;0,($H$105+$H$106),H106)</f>
        <v>0</v>
      </c>
      <c r="J107" s="430"/>
      <c r="R107" s="653"/>
      <c r="AJ107" s="157"/>
      <c r="AK107" s="157"/>
      <c r="AL107" s="157"/>
      <c r="AM107" s="157"/>
      <c r="AN107" s="157"/>
    </row>
    <row r="108" spans="3:40" s="25" customFormat="1" ht="18" x14ac:dyDescent="0.55000000000000004">
      <c r="C108" s="827" t="s">
        <v>262</v>
      </c>
      <c r="D108" s="975"/>
      <c r="E108" s="975"/>
      <c r="F108" s="975"/>
      <c r="G108" s="437">
        <f ca="1">$H$105</f>
        <v>0</v>
      </c>
      <c r="H108" s="431"/>
      <c r="J108" s="430"/>
      <c r="R108" s="653"/>
      <c r="AJ108" s="157"/>
      <c r="AK108" s="157"/>
      <c r="AL108" s="157"/>
      <c r="AM108" s="157"/>
      <c r="AN108" s="157"/>
    </row>
    <row r="109" spans="3:40" s="25" customFormat="1" ht="18.399999999999999" thickBot="1" x14ac:dyDescent="0.5">
      <c r="C109" s="917" t="s">
        <v>263</v>
      </c>
      <c r="D109" s="635"/>
      <c r="E109" s="635"/>
      <c r="F109" s="635"/>
      <c r="G109" s="438">
        <f ca="1">IF($H$105&lt;=0,$H$106,($H$106+$H$105))</f>
        <v>0</v>
      </c>
      <c r="R109" s="653"/>
      <c r="AJ109" s="157"/>
      <c r="AK109" s="157"/>
      <c r="AL109" s="157"/>
      <c r="AM109" s="157"/>
      <c r="AN109" s="157"/>
    </row>
    <row r="110" spans="3:40" s="25" customFormat="1" x14ac:dyDescent="0.45">
      <c r="R110" s="653"/>
      <c r="AJ110" s="157"/>
      <c r="AK110" s="157"/>
      <c r="AL110" s="157"/>
      <c r="AM110" s="157"/>
      <c r="AN110" s="157"/>
    </row>
    <row r="111" spans="3:40" s="25" customFormat="1" x14ac:dyDescent="0.45">
      <c r="R111" s="653"/>
      <c r="AJ111" s="157"/>
      <c r="AK111" s="157"/>
      <c r="AL111" s="157"/>
      <c r="AM111" s="157"/>
      <c r="AN111" s="157"/>
    </row>
    <row r="112" spans="3:40" s="25" customFormat="1" x14ac:dyDescent="0.45">
      <c r="R112" s="653"/>
      <c r="AJ112" s="157"/>
      <c r="AK112" s="157"/>
      <c r="AL112" s="157"/>
      <c r="AM112" s="157"/>
      <c r="AN112" s="157"/>
    </row>
    <row r="113" spans="18:40" s="25" customFormat="1" x14ac:dyDescent="0.45">
      <c r="R113" s="653"/>
      <c r="AJ113" s="157"/>
      <c r="AK113" s="157"/>
      <c r="AL113" s="157"/>
      <c r="AM113" s="157"/>
      <c r="AN113" s="157"/>
    </row>
    <row r="114" spans="18:40" s="25" customFormat="1" x14ac:dyDescent="0.45">
      <c r="R114" s="653"/>
      <c r="AJ114" s="157"/>
      <c r="AK114" s="157"/>
      <c r="AL114" s="157"/>
      <c r="AM114" s="157"/>
      <c r="AN114" s="157"/>
    </row>
    <row r="115" spans="18:40" s="25" customFormat="1" x14ac:dyDescent="0.45">
      <c r="R115" s="653"/>
      <c r="AJ115" s="157"/>
      <c r="AK115" s="157"/>
      <c r="AL115" s="157"/>
      <c r="AM115" s="157"/>
      <c r="AN115" s="157"/>
    </row>
    <row r="116" spans="18:40" s="25" customFormat="1" x14ac:dyDescent="0.45">
      <c r="R116" s="653"/>
      <c r="AJ116" s="157"/>
      <c r="AK116" s="157"/>
      <c r="AL116" s="157"/>
      <c r="AM116" s="157"/>
      <c r="AN116" s="157"/>
    </row>
    <row r="117" spans="18:40" s="25" customFormat="1" x14ac:dyDescent="0.45">
      <c r="R117" s="653"/>
      <c r="AJ117" s="157"/>
      <c r="AK117" s="157"/>
      <c r="AL117" s="157"/>
      <c r="AM117" s="157"/>
      <c r="AN117" s="157"/>
    </row>
    <row r="118" spans="18:40" s="25" customFormat="1" x14ac:dyDescent="0.45">
      <c r="R118" s="653"/>
      <c r="AJ118" s="157"/>
      <c r="AK118" s="157"/>
      <c r="AL118" s="157"/>
      <c r="AM118" s="157"/>
      <c r="AN118" s="157"/>
    </row>
    <row r="119" spans="18:40" s="25" customFormat="1" x14ac:dyDescent="0.45">
      <c r="R119" s="653"/>
      <c r="AJ119" s="157"/>
      <c r="AK119" s="157"/>
      <c r="AL119" s="157"/>
      <c r="AM119" s="157"/>
      <c r="AN119" s="157"/>
    </row>
    <row r="120" spans="18:40" s="25" customFormat="1" x14ac:dyDescent="0.45">
      <c r="R120" s="653"/>
      <c r="AJ120" s="157"/>
      <c r="AK120" s="157"/>
      <c r="AL120" s="157"/>
      <c r="AM120" s="157"/>
      <c r="AN120" s="157"/>
    </row>
    <row r="121" spans="18:40" s="25" customFormat="1" x14ac:dyDescent="0.45">
      <c r="R121" s="653"/>
      <c r="AJ121" s="157"/>
      <c r="AK121" s="157"/>
      <c r="AL121" s="157"/>
      <c r="AM121" s="157"/>
      <c r="AN121" s="157"/>
    </row>
    <row r="122" spans="18:40" s="25" customFormat="1" x14ac:dyDescent="0.45">
      <c r="R122" s="653"/>
      <c r="AJ122" s="157"/>
      <c r="AK122" s="157"/>
      <c r="AL122" s="157"/>
      <c r="AM122" s="157"/>
      <c r="AN122" s="157"/>
    </row>
    <row r="123" spans="18:40" s="25" customFormat="1" x14ac:dyDescent="0.45">
      <c r="R123" s="653"/>
      <c r="AJ123" s="157"/>
      <c r="AK123" s="157"/>
      <c r="AL123" s="157"/>
      <c r="AM123" s="157"/>
      <c r="AN123" s="157"/>
    </row>
    <row r="124" spans="18:40" s="25" customFormat="1" x14ac:dyDescent="0.45">
      <c r="R124" s="653"/>
      <c r="AJ124" s="157"/>
      <c r="AK124" s="157"/>
      <c r="AL124" s="157"/>
      <c r="AM124" s="157"/>
      <c r="AN124" s="157"/>
    </row>
    <row r="125" spans="18:40" s="25" customFormat="1" x14ac:dyDescent="0.45">
      <c r="R125" s="653"/>
      <c r="AJ125" s="157"/>
      <c r="AK125" s="157"/>
      <c r="AL125" s="157"/>
      <c r="AM125" s="157"/>
      <c r="AN125" s="157"/>
    </row>
    <row r="126" spans="18:40" s="25" customFormat="1" x14ac:dyDescent="0.45">
      <c r="R126" s="653"/>
      <c r="AJ126" s="157"/>
      <c r="AK126" s="157"/>
      <c r="AL126" s="157"/>
      <c r="AM126" s="157"/>
      <c r="AN126" s="157"/>
    </row>
    <row r="127" spans="18:40" s="25" customFormat="1" x14ac:dyDescent="0.45">
      <c r="R127" s="653"/>
      <c r="AJ127" s="157"/>
      <c r="AK127" s="157"/>
      <c r="AL127" s="157"/>
      <c r="AM127" s="157"/>
      <c r="AN127" s="157"/>
    </row>
    <row r="128" spans="18:40" s="25" customFormat="1" x14ac:dyDescent="0.45">
      <c r="R128" s="653"/>
      <c r="AJ128" s="157"/>
      <c r="AK128" s="157"/>
      <c r="AL128" s="157"/>
      <c r="AM128" s="157"/>
      <c r="AN128" s="157"/>
    </row>
    <row r="129" spans="18:40" s="25" customFormat="1" x14ac:dyDescent="0.45">
      <c r="R129" s="653"/>
      <c r="AJ129" s="157"/>
      <c r="AK129" s="157"/>
      <c r="AL129" s="157"/>
      <c r="AM129" s="157"/>
      <c r="AN129" s="157"/>
    </row>
    <row r="130" spans="18:40" s="25" customFormat="1" x14ac:dyDescent="0.45">
      <c r="R130" s="653"/>
      <c r="AJ130" s="157"/>
      <c r="AK130" s="157"/>
      <c r="AL130" s="157"/>
      <c r="AM130" s="157"/>
      <c r="AN130" s="157"/>
    </row>
    <row r="131" spans="18:40" x14ac:dyDescent="0.45"/>
    <row r="132" spans="18:40" x14ac:dyDescent="0.45"/>
    <row r="133" spans="18:40" x14ac:dyDescent="0.45"/>
    <row r="134" spans="18:40" x14ac:dyDescent="0.45"/>
    <row r="135" spans="18:40" x14ac:dyDescent="0.45"/>
    <row r="136" spans="18:40" x14ac:dyDescent="0.45"/>
    <row r="137" spans="18:40" x14ac:dyDescent="0.45"/>
    <row r="138" spans="18:40" x14ac:dyDescent="0.45"/>
    <row r="139" spans="18:40" x14ac:dyDescent="0.45"/>
    <row r="140" spans="18:40" x14ac:dyDescent="0.45"/>
  </sheetData>
  <sheetProtection algorithmName="SHA-512" hashValue="7HLOq8XY9RtwIsu9pKITXtzaQIkQskpS6tcsZ2zCm6OVJoyAyiRkR2xiJp8Xa5RHWgDMsUw1fQYkWK8oO9QE9Q==" saltValue="AuX3pbM0XTjmrHH9XTgd6Q=="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8" zoomScale="80" zoomScaleNormal="80" workbookViewId="0"/>
  </sheetViews>
  <sheetFormatPr defaultColWidth="0" defaultRowHeight="15.75" zeroHeight="1" x14ac:dyDescent="0.5"/>
  <cols>
    <col min="1" max="1" width="14.1328125" customWidth="1"/>
    <col min="2" max="2" width="30.59765625" customWidth="1"/>
    <col min="3" max="3" width="45.265625" customWidth="1"/>
    <col min="4" max="4" width="76.3984375" customWidth="1"/>
    <col min="5" max="5" width="13" bestFit="1" customWidth="1"/>
    <col min="6" max="6" width="19.59765625" style="495" customWidth="1"/>
    <col min="7" max="7" width="29.1328125" hidden="1" customWidth="1"/>
    <col min="8" max="9" width="10.73046875" hidden="1" customWidth="1"/>
    <col min="10" max="10" width="15" hidden="1" customWidth="1"/>
    <col min="11" max="11" width="10.265625" hidden="1" customWidth="1"/>
    <col min="12" max="16" width="8.86328125" hidden="1" customWidth="1"/>
    <col min="17" max="17" width="11.59765625" hidden="1" customWidth="1"/>
    <col min="18" max="18" width="8.86328125" hidden="1" customWidth="1"/>
    <col min="19" max="19" width="11.1328125" hidden="1" customWidth="1"/>
    <col min="20" max="24" width="8.86328125" hidden="1" customWidth="1"/>
    <col min="25" max="32" width="0" hidden="1" customWidth="1"/>
    <col min="33" max="16384" width="8.86328125" hidden="1"/>
  </cols>
  <sheetData>
    <row r="1" spans="1:24" ht="16.149999999999999" thickBot="1" x14ac:dyDescent="0.55000000000000004">
      <c r="A1" s="25"/>
      <c r="B1" s="25"/>
      <c r="C1" s="25"/>
      <c r="D1" s="25"/>
      <c r="E1" s="25"/>
      <c r="F1" s="490"/>
      <c r="G1" s="25"/>
      <c r="H1" s="25"/>
      <c r="I1" s="25"/>
      <c r="J1" s="25"/>
      <c r="K1" s="25"/>
      <c r="L1" s="25"/>
      <c r="M1" s="25"/>
      <c r="N1" s="25"/>
      <c r="O1" s="25"/>
      <c r="P1" s="25"/>
      <c r="Q1" s="25"/>
      <c r="R1" s="25"/>
      <c r="S1" s="25"/>
      <c r="T1" s="25"/>
      <c r="U1" s="25"/>
      <c r="V1" s="25"/>
      <c r="W1" s="25"/>
      <c r="X1" s="25"/>
    </row>
    <row r="2" spans="1:24" ht="24.75" customHeight="1" x14ac:dyDescent="0.55000000000000004">
      <c r="A2" s="25"/>
      <c r="B2" s="647" t="s">
        <v>56</v>
      </c>
      <c r="C2" s="648"/>
      <c r="D2" s="637" t="str">
        <f>IF('2. Site Details'!D4="","Enter site name on 2. Site Details",'2. Site Details'!D4)</f>
        <v>McDonalds Molesworth Street</v>
      </c>
      <c r="E2" s="638"/>
      <c r="F2" s="497"/>
      <c r="G2" s="52"/>
      <c r="H2" s="52"/>
      <c r="I2" s="52"/>
      <c r="J2" s="52"/>
      <c r="K2" s="52"/>
      <c r="L2" s="52"/>
      <c r="M2" s="52"/>
      <c r="N2" s="52"/>
      <c r="O2" s="52"/>
      <c r="P2" s="52"/>
      <c r="Q2" s="52"/>
      <c r="R2" s="52"/>
      <c r="S2" s="52"/>
      <c r="T2" s="52"/>
      <c r="U2" s="52"/>
      <c r="V2" s="52"/>
      <c r="W2" s="52"/>
      <c r="X2" s="25"/>
    </row>
    <row r="3" spans="1:24" ht="24.75" customHeight="1" thickBot="1" x14ac:dyDescent="0.6">
      <c r="A3" s="25"/>
      <c r="B3" s="645" t="s">
        <v>13</v>
      </c>
      <c r="C3" s="646"/>
      <c r="D3" s="635" t="s">
        <v>264</v>
      </c>
      <c r="E3" s="636"/>
      <c r="F3" s="491"/>
      <c r="G3" s="52"/>
      <c r="H3" s="993"/>
      <c r="I3" s="993"/>
      <c r="J3" s="993"/>
      <c r="K3" s="993"/>
      <c r="L3" s="993"/>
      <c r="M3" s="993"/>
      <c r="N3" s="993"/>
      <c r="O3" s="993"/>
      <c r="P3" s="52"/>
      <c r="Q3" s="52"/>
      <c r="R3" s="52"/>
      <c r="S3" s="52"/>
      <c r="T3" s="52"/>
      <c r="U3" s="52"/>
      <c r="V3" s="52"/>
      <c r="W3" s="52"/>
      <c r="X3" s="25"/>
    </row>
    <row r="4" spans="1:24" ht="34.15" customHeight="1" thickBot="1" x14ac:dyDescent="0.5">
      <c r="A4" s="25"/>
      <c r="B4" s="56" t="s">
        <v>264</v>
      </c>
      <c r="C4" s="25"/>
      <c r="D4" s="25"/>
      <c r="E4" s="25"/>
      <c r="F4" s="491"/>
      <c r="G4" s="52"/>
      <c r="H4" s="52"/>
      <c r="I4" s="52"/>
      <c r="J4" s="52"/>
      <c r="K4" s="52"/>
      <c r="L4" s="52"/>
      <c r="M4" s="52"/>
      <c r="N4" s="52"/>
      <c r="O4" s="52"/>
      <c r="P4" s="52"/>
      <c r="Q4" s="52"/>
      <c r="R4" s="52"/>
      <c r="S4" s="52"/>
      <c r="T4" s="52"/>
      <c r="U4" s="52"/>
      <c r="V4" s="52"/>
      <c r="W4" s="52"/>
      <c r="X4" s="25"/>
    </row>
    <row r="5" spans="1:24" ht="24.75" customHeight="1" thickBot="1" x14ac:dyDescent="0.5">
      <c r="A5" s="25"/>
      <c r="B5" s="631" t="s">
        <v>265</v>
      </c>
      <c r="C5" s="1002"/>
      <c r="D5" s="988" t="str">
        <f>IF(OR(D27&gt;0,D28&gt;0,D29&gt;0),"BNG Targets Not Met ▲","BNG Targets Met ✓")</f>
        <v>BNG Targets Met ✓</v>
      </c>
      <c r="E5" s="875"/>
      <c r="F5" s="491"/>
      <c r="G5" s="52"/>
      <c r="H5" s="52"/>
      <c r="I5" s="52"/>
      <c r="J5" s="52"/>
      <c r="K5" s="52"/>
      <c r="L5" s="52"/>
      <c r="M5" s="52"/>
      <c r="N5" s="52"/>
      <c r="O5" s="52"/>
      <c r="P5" s="52"/>
      <c r="Q5" s="52"/>
      <c r="R5" s="52"/>
      <c r="S5" s="52"/>
      <c r="T5" s="52"/>
      <c r="U5" s="52"/>
      <c r="V5" s="52"/>
      <c r="W5" s="52"/>
      <c r="X5" s="25"/>
    </row>
    <row r="6" spans="1:24" ht="24.75" customHeight="1" thickBot="1" x14ac:dyDescent="0.6">
      <c r="A6" s="25"/>
      <c r="B6" s="25"/>
      <c r="C6" s="25"/>
      <c r="D6" s="165"/>
      <c r="E6" s="165"/>
      <c r="F6" s="491"/>
      <c r="G6" s="52"/>
      <c r="H6" s="52"/>
      <c r="I6" s="52"/>
      <c r="J6" s="52"/>
      <c r="K6" s="52"/>
      <c r="L6" s="52"/>
      <c r="M6" s="52"/>
      <c r="N6" s="52"/>
      <c r="O6" s="52"/>
      <c r="P6" s="52"/>
      <c r="Q6" s="52"/>
      <c r="R6" s="52"/>
      <c r="S6" s="52"/>
      <c r="T6" s="52"/>
      <c r="U6" s="52"/>
      <c r="V6" s="52"/>
      <c r="W6" s="52"/>
      <c r="X6" s="25"/>
    </row>
    <row r="7" spans="1:24" ht="24.75" customHeight="1" thickBot="1" x14ac:dyDescent="0.5">
      <c r="A7" s="25"/>
      <c r="B7" s="631" t="s">
        <v>266</v>
      </c>
      <c r="C7" s="632"/>
      <c r="D7" s="985" t="str">
        <f ca="1">IF('5. Area Habitats'!J108+'5. Area Habitats'!J109+'6. Hedges &amp; Lines of Trees'!J97+'7. Watercourses'!J97&gt;0,"Trading Rules Not Satisfied ▲","Trading Rules Satisfied ✓")</f>
        <v>Trading Rules Not Satisfied ▲</v>
      </c>
      <c r="E7" s="986"/>
      <c r="F7" s="498"/>
      <c r="G7" s="383"/>
      <c r="H7" s="384"/>
      <c r="I7" s="385"/>
      <c r="J7" s="52"/>
      <c r="K7" s="52"/>
      <c r="L7" s="52"/>
      <c r="M7" s="52"/>
      <c r="N7" s="52"/>
      <c r="O7" s="52"/>
      <c r="P7" s="52"/>
      <c r="Q7" s="52"/>
      <c r="R7" s="52"/>
      <c r="S7" s="52"/>
      <c r="T7" s="52"/>
      <c r="U7" s="52"/>
      <c r="V7" s="52"/>
      <c r="W7" s="52"/>
      <c r="X7" s="25"/>
    </row>
    <row r="8" spans="1:24" ht="24.75" customHeight="1" thickBot="1" x14ac:dyDescent="0.6">
      <c r="A8" s="25"/>
      <c r="B8" s="25"/>
      <c r="C8" s="25"/>
      <c r="D8" s="165"/>
      <c r="E8" s="165"/>
      <c r="F8" s="498"/>
      <c r="G8" s="52"/>
      <c r="H8" s="52"/>
      <c r="I8" s="52"/>
      <c r="J8" s="52"/>
      <c r="K8" s="52"/>
      <c r="L8" s="52"/>
      <c r="M8" s="52"/>
      <c r="N8" s="52"/>
      <c r="O8" s="52"/>
      <c r="P8" s="52"/>
      <c r="Q8" s="52"/>
      <c r="R8" s="52"/>
      <c r="S8" s="52"/>
      <c r="T8" s="52"/>
      <c r="U8" s="52"/>
      <c r="V8" s="52"/>
      <c r="W8" s="52"/>
      <c r="X8" s="25"/>
    </row>
    <row r="9" spans="1:24" ht="24.75" customHeight="1" thickBot="1" x14ac:dyDescent="0.5">
      <c r="A9" s="25"/>
      <c r="B9" s="631" t="s">
        <v>267</v>
      </c>
      <c r="C9" s="1002"/>
      <c r="D9" s="989" t="str">
        <f ca="1">IF(OR(D5="BNG Targets Not Met ▲",D7="Trading Rules Not Satisfied ▲"),"Scheme alterations or offsite units required","Check for input errors/rule breaks present in the metric ⚠")</f>
        <v>Scheme alterations or offsite units required</v>
      </c>
      <c r="E9" s="990"/>
      <c r="F9" s="491"/>
      <c r="G9" s="29"/>
      <c r="H9" s="29"/>
      <c r="I9" s="29"/>
      <c r="J9" s="29"/>
      <c r="K9" s="29"/>
      <c r="L9" s="29"/>
      <c r="M9" s="29"/>
      <c r="N9" s="29"/>
      <c r="O9" s="29"/>
      <c r="P9" s="29"/>
      <c r="Q9" s="54"/>
      <c r="R9" s="29"/>
      <c r="S9" s="52"/>
      <c r="T9" s="52"/>
      <c r="U9" s="52"/>
      <c r="V9" s="52"/>
      <c r="W9" s="52"/>
      <c r="X9" s="25"/>
    </row>
    <row r="10" spans="1:24" ht="43.5" customHeight="1" thickBot="1" x14ac:dyDescent="0.5">
      <c r="A10" s="25"/>
      <c r="B10" s="25"/>
      <c r="C10" s="25"/>
      <c r="D10" s="987"/>
      <c r="E10" s="987"/>
      <c r="F10" s="491" t="s">
        <v>268</v>
      </c>
      <c r="G10" s="29"/>
      <c r="H10" s="29"/>
      <c r="I10" s="29"/>
      <c r="J10" s="29"/>
      <c r="K10" s="29"/>
      <c r="L10" s="29"/>
      <c r="M10" s="29"/>
      <c r="N10" s="29"/>
      <c r="O10" s="29"/>
      <c r="P10" s="29"/>
      <c r="Q10" s="54"/>
      <c r="R10" s="29"/>
      <c r="S10" s="52"/>
      <c r="T10" s="52"/>
      <c r="U10" s="52"/>
      <c r="V10" s="52"/>
      <c r="W10" s="52"/>
      <c r="X10" s="25"/>
    </row>
    <row r="11" spans="1:24" ht="24.75" customHeight="1" x14ac:dyDescent="0.45">
      <c r="A11" s="25"/>
      <c r="B11" s="982" t="s">
        <v>269</v>
      </c>
      <c r="C11" s="273" t="s">
        <v>270</v>
      </c>
      <c r="D11" s="484">
        <f>IF('5. Area Habitats'!L32=0,"Zero Units Baseline",'5. Area Habitats'!L32)</f>
        <v>0.33960000000000001</v>
      </c>
      <c r="E11" s="485"/>
      <c r="F11" s="491">
        <f>('2. Site Details'!$D$13/100)*$D$11</f>
        <v>3.3960000000000004E-2</v>
      </c>
      <c r="G11" s="379"/>
      <c r="H11" s="29"/>
      <c r="I11" s="29"/>
      <c r="J11" s="29"/>
      <c r="K11" s="29"/>
      <c r="L11" s="29"/>
      <c r="M11" s="29"/>
      <c r="N11" s="29"/>
      <c r="O11" s="29"/>
      <c r="P11" s="29"/>
      <c r="Q11" s="54"/>
      <c r="R11" s="29"/>
      <c r="S11" s="52"/>
      <c r="T11" s="52"/>
      <c r="U11" s="52"/>
      <c r="V11" s="52"/>
      <c r="W11" s="52"/>
      <c r="X11" s="25"/>
    </row>
    <row r="12" spans="1:24" ht="24.75" customHeight="1" x14ac:dyDescent="0.45">
      <c r="A12" s="25"/>
      <c r="B12" s="983"/>
      <c r="C12" s="274" t="s">
        <v>271</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75" customHeight="1" thickBot="1" x14ac:dyDescent="0.5">
      <c r="A13" s="25"/>
      <c r="B13" s="984"/>
      <c r="C13" s="275" t="s">
        <v>272</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75" customHeight="1" thickBot="1" x14ac:dyDescent="0.6">
      <c r="A14" s="25"/>
      <c r="B14" s="25"/>
      <c r="C14" s="25"/>
      <c r="D14" s="165"/>
      <c r="E14" s="165"/>
      <c r="F14" s="491" t="s">
        <v>273</v>
      </c>
      <c r="G14" s="29"/>
      <c r="H14" s="29"/>
      <c r="I14" s="29"/>
      <c r="J14" s="29"/>
      <c r="K14" s="29"/>
      <c r="L14" s="29"/>
      <c r="M14" s="29"/>
      <c r="N14" s="29"/>
      <c r="O14" s="29"/>
      <c r="P14" s="29"/>
      <c r="Q14" s="54"/>
      <c r="R14" s="29"/>
      <c r="S14" s="52"/>
      <c r="T14" s="52"/>
      <c r="U14" s="52"/>
      <c r="V14" s="52"/>
      <c r="W14" s="52"/>
      <c r="X14" s="25"/>
    </row>
    <row r="15" spans="1:24" ht="24.75" customHeight="1" x14ac:dyDescent="0.45">
      <c r="A15" s="25"/>
      <c r="B15" s="982" t="s">
        <v>274</v>
      </c>
      <c r="C15" s="273" t="s">
        <v>270</v>
      </c>
      <c r="D15" s="484">
        <f>'5. Area Habitats'!P3+'5. Area Habitats'!P4+'5. Area Habitats'!P1</f>
        <v>0.38173855905966159</v>
      </c>
      <c r="E15" s="485"/>
      <c r="F15" s="492">
        <f>D11+F11</f>
        <v>0.37356</v>
      </c>
      <c r="G15" s="29"/>
      <c r="H15" s="29"/>
      <c r="I15" s="29"/>
      <c r="J15" s="29"/>
      <c r="K15" s="29"/>
      <c r="L15" s="29"/>
      <c r="M15" s="29"/>
      <c r="N15" s="29"/>
      <c r="O15" s="29"/>
      <c r="P15" s="29"/>
      <c r="Q15" s="54"/>
      <c r="R15" s="29"/>
      <c r="S15" s="52"/>
      <c r="T15" s="52"/>
      <c r="U15" s="52"/>
      <c r="V15" s="52"/>
      <c r="W15" s="52"/>
      <c r="X15" s="25"/>
    </row>
    <row r="16" spans="1:24" ht="24.75" customHeight="1" x14ac:dyDescent="0.45">
      <c r="A16" s="25"/>
      <c r="B16" s="983"/>
      <c r="C16" s="274" t="s">
        <v>271</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75" customHeight="1" thickBot="1" x14ac:dyDescent="0.5">
      <c r="A17" s="25"/>
      <c r="B17" s="984"/>
      <c r="C17" s="275" t="s">
        <v>272</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75" customHeight="1" thickBot="1" x14ac:dyDescent="0.6">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75" customHeight="1" x14ac:dyDescent="0.5">
      <c r="A19" s="25"/>
      <c r="B19" s="982" t="s">
        <v>275</v>
      </c>
      <c r="C19" s="529" t="s">
        <v>270</v>
      </c>
      <c r="D19" s="534">
        <f>'5. Area Habitats'!P5</f>
        <v>4.2138559059661573E-2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75" customHeight="1" x14ac:dyDescent="0.5">
      <c r="A20" s="25"/>
      <c r="B20" s="983"/>
      <c r="C20" s="530" t="s">
        <v>271</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75" customHeight="1" thickBot="1" x14ac:dyDescent="0.55000000000000004">
      <c r="A21" s="25"/>
      <c r="B21" s="984"/>
      <c r="C21" s="531" t="s">
        <v>272</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75" customHeight="1" thickBot="1" x14ac:dyDescent="0.6">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75" customHeight="1" x14ac:dyDescent="0.45">
      <c r="A23" s="25"/>
      <c r="B23" s="791" t="s">
        <v>276</v>
      </c>
      <c r="C23" s="529" t="s">
        <v>270</v>
      </c>
      <c r="D23" s="538">
        <f>IF(D11="Zero Units Baseline","% target not appropriate",D19/D11)</f>
        <v>0.12408291831466894</v>
      </c>
      <c r="E23" s="539" t="str" cm="1">
        <f t="array" ref="E23">_xlfn.IFS(D23&gt;=F19,"✓",D23&lt;0,"▲", D23&lt;F19,"⚠")</f>
        <v>✓</v>
      </c>
      <c r="F23" s="491">
        <f>$D$23*100</f>
        <v>12.408291831466894</v>
      </c>
      <c r="G23" s="29"/>
      <c r="H23" s="29"/>
      <c r="I23" s="29"/>
      <c r="J23" s="29"/>
      <c r="K23" s="29"/>
      <c r="L23" s="29"/>
      <c r="M23" s="29"/>
      <c r="N23" s="29"/>
      <c r="O23" s="29"/>
      <c r="P23" s="29"/>
      <c r="Q23" s="54"/>
      <c r="R23" s="29"/>
      <c r="S23" s="52"/>
      <c r="T23" s="52"/>
      <c r="U23" s="52"/>
      <c r="V23" s="52"/>
      <c r="W23" s="52"/>
      <c r="X23" s="25"/>
    </row>
    <row r="24" spans="1:24" ht="24.75" customHeight="1" x14ac:dyDescent="0.45">
      <c r="A24" s="25"/>
      <c r="B24" s="994"/>
      <c r="C24" s="530" t="s">
        <v>271</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75" customHeight="1" thickBot="1" x14ac:dyDescent="0.5">
      <c r="A25" s="25"/>
      <c r="B25" s="995"/>
      <c r="C25" s="531" t="s">
        <v>272</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75" customHeight="1" thickBot="1" x14ac:dyDescent="0.6">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75" customHeight="1" x14ac:dyDescent="0.45">
      <c r="A27" s="25"/>
      <c r="B27" s="1000" t="s">
        <v>277</v>
      </c>
      <c r="C27" s="1001"/>
      <c r="D27" s="1003">
        <f>IFERROR(IF(D11="Zero Units Baseline",IF('2. Site Details'!D17&lt;=D15,0,'2. Site Details'!D17-D15),(IF((D11*(1+('2. Site Details'!D13/100)))-D15&lt;0,0,F15-D15))),"")</f>
        <v>0</v>
      </c>
      <c r="E27" s="1004"/>
      <c r="F27" s="491"/>
      <c r="G27" s="29"/>
      <c r="H27" s="29"/>
      <c r="I27" s="29"/>
      <c r="J27" s="29"/>
      <c r="K27" s="29"/>
      <c r="L27" s="29"/>
      <c r="M27" s="29"/>
      <c r="N27" s="29"/>
      <c r="O27" s="29"/>
      <c r="P27" s="29"/>
      <c r="Q27" s="54"/>
      <c r="R27" s="29"/>
      <c r="S27" s="52"/>
      <c r="T27" s="52"/>
      <c r="U27" s="52"/>
      <c r="V27" s="52"/>
      <c r="W27" s="52"/>
      <c r="X27" s="25"/>
    </row>
    <row r="28" spans="1:24" ht="24.75" customHeight="1" x14ac:dyDescent="0.45">
      <c r="A28" s="25"/>
      <c r="B28" s="998" t="s">
        <v>278</v>
      </c>
      <c r="C28" s="999"/>
      <c r="D28" s="1005">
        <f>IFERROR(IF(D12="Zero Units Baseline",IF('2. Site Details'!D18&lt;=D16,0,'2. Site Details'!D18-D16),(IF((D12*(1+('2. Site Details'!D14/100)))-D16&lt;0,0,F16-D16))),"")</f>
        <v>0</v>
      </c>
      <c r="E28" s="1006"/>
      <c r="F28" s="491"/>
      <c r="G28" s="159"/>
      <c r="H28" s="29"/>
      <c r="I28" s="29"/>
      <c r="J28" s="29"/>
      <c r="K28" s="29"/>
      <c r="L28" s="29"/>
      <c r="M28" s="29"/>
      <c r="N28" s="29"/>
      <c r="O28" s="29"/>
      <c r="P28" s="29"/>
      <c r="Q28" s="54"/>
      <c r="R28" s="29"/>
      <c r="S28" s="52"/>
      <c r="T28" s="52"/>
      <c r="U28" s="52"/>
      <c r="V28" s="52"/>
      <c r="W28" s="52"/>
      <c r="X28" s="25"/>
    </row>
    <row r="29" spans="1:24" ht="24.75" customHeight="1" thickBot="1" x14ac:dyDescent="0.5">
      <c r="A29" s="25"/>
      <c r="B29" s="996" t="s">
        <v>279</v>
      </c>
      <c r="C29" s="997"/>
      <c r="D29" s="1007">
        <f>IFERROR(IF(D13="Zero Units Baseline",IF('2. Site Details'!D19&lt;=D17,0,'2. Site Details'!D19-D17),(IF((D13*(1+('2. Site Details'!D15/100)))-D17&lt;0,0,F17-D17))),"")</f>
        <v>0</v>
      </c>
      <c r="E29" s="1008"/>
      <c r="F29" s="491"/>
      <c r="G29" s="29"/>
      <c r="H29" s="29"/>
      <c r="I29" s="29"/>
      <c r="J29" s="29"/>
      <c r="K29" s="29"/>
      <c r="L29" s="29"/>
      <c r="M29" s="29"/>
      <c r="N29" s="29"/>
      <c r="O29" s="29"/>
      <c r="P29" s="29"/>
      <c r="Q29" s="54"/>
      <c r="R29" s="29"/>
      <c r="S29" s="52"/>
      <c r="T29" s="52"/>
      <c r="U29" s="52"/>
      <c r="V29" s="52"/>
      <c r="W29" s="52"/>
      <c r="X29" s="25"/>
    </row>
    <row r="30" spans="1:24" ht="10.15" customHeight="1" x14ac:dyDescent="0.55000000000000004">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x14ac:dyDescent="0.55000000000000004">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x14ac:dyDescent="0.55000000000000004">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65" customHeight="1" x14ac:dyDescent="0.55000000000000004">
      <c r="A33" s="25"/>
      <c r="B33" s="56" t="s">
        <v>280</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65" customHeight="1" x14ac:dyDescent="0.55000000000000004">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65" customHeight="1" thickBot="1" x14ac:dyDescent="0.5">
      <c r="A35" s="29"/>
      <c r="B35" s="25"/>
      <c r="C35" s="25" t="s">
        <v>281</v>
      </c>
      <c r="D35" s="25" t="s">
        <v>282</v>
      </c>
      <c r="E35" s="52"/>
      <c r="F35" s="491"/>
      <c r="G35" s="25"/>
      <c r="H35" s="25"/>
      <c r="I35" s="25"/>
      <c r="J35" s="25"/>
      <c r="K35" s="25"/>
      <c r="L35" s="25"/>
      <c r="M35" s="25"/>
      <c r="N35" s="25"/>
      <c r="O35" s="25"/>
      <c r="P35" s="29"/>
      <c r="Q35" s="54"/>
      <c r="R35" s="29"/>
      <c r="S35" s="29"/>
      <c r="T35" s="29"/>
      <c r="U35" s="29"/>
      <c r="V35" s="29"/>
      <c r="W35" s="29"/>
      <c r="X35" s="29"/>
    </row>
    <row r="36" spans="1:24" ht="23.65" customHeight="1" thickBot="1" x14ac:dyDescent="0.5">
      <c r="A36" s="25"/>
      <c r="B36" s="382" t="s">
        <v>270</v>
      </c>
      <c r="C36" s="51">
        <f>IF(D11="Zero Units Baseline",0,D11)</f>
        <v>0.33960000000000001</v>
      </c>
      <c r="D36" s="51">
        <f>D15</f>
        <v>0.38173855905966159</v>
      </c>
      <c r="E36" s="52"/>
      <c r="F36" s="491"/>
      <c r="G36" s="25"/>
      <c r="H36" s="25"/>
      <c r="I36" s="25"/>
      <c r="J36" s="25"/>
      <c r="K36" s="25"/>
      <c r="L36" s="25"/>
      <c r="M36" s="25"/>
      <c r="N36" s="25"/>
      <c r="O36" s="25"/>
      <c r="P36" s="25"/>
      <c r="Q36" s="54"/>
      <c r="R36" s="29"/>
      <c r="S36" s="29"/>
      <c r="T36" s="29"/>
      <c r="U36" s="29"/>
      <c r="V36" s="29"/>
      <c r="W36" s="29"/>
      <c r="X36" s="25"/>
    </row>
    <row r="37" spans="1:24" ht="23.65" customHeight="1" thickBot="1" x14ac:dyDescent="0.5">
      <c r="A37" s="25"/>
      <c r="B37" s="382" t="s">
        <v>271</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65" customHeight="1" x14ac:dyDescent="0.45">
      <c r="A38" s="25"/>
      <c r="B38" s="382" t="s">
        <v>283</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65" customHeight="1" x14ac:dyDescent="0.55000000000000004">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65" customHeight="1" x14ac:dyDescent="0.55000000000000004">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65" customHeight="1" x14ac:dyDescent="0.55000000000000004">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65" customHeight="1" x14ac:dyDescent="0.55000000000000004">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65" customHeight="1" x14ac:dyDescent="0.55000000000000004">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x14ac:dyDescent="0.55000000000000004">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x14ac:dyDescent="0.55000000000000004">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x14ac:dyDescent="0.55000000000000004">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x14ac:dyDescent="0.55000000000000004">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x14ac:dyDescent="0.55000000000000004">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65" customHeight="1" x14ac:dyDescent="0.55000000000000004">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x14ac:dyDescent="0.45">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75" customHeight="1" x14ac:dyDescent="0.45">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75" hidden="1" customHeight="1" x14ac:dyDescent="0.45">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75" hidden="1" customHeight="1" x14ac:dyDescent="0.45">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x14ac:dyDescent="0.45">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75" hidden="1" customHeight="1" x14ac:dyDescent="0.45">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75" hidden="1" customHeight="1" x14ac:dyDescent="0.45">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x14ac:dyDescent="0.45">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75" hidden="1" customHeight="1" x14ac:dyDescent="0.45">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75" hidden="1" customHeight="1" x14ac:dyDescent="0.45">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75" hidden="1" customHeight="1" x14ac:dyDescent="0.45">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75" hidden="1" customHeight="1" x14ac:dyDescent="0.45">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75" hidden="1" customHeight="1" x14ac:dyDescent="0.45">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x14ac:dyDescent="0.45">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65" hidden="1" customHeight="1" x14ac:dyDescent="0.5">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65" hidden="1" customHeight="1" x14ac:dyDescent="0.5">
      <c r="A65" s="25"/>
      <c r="B65" s="991" t="s">
        <v>284</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65" hidden="1" customHeight="1" x14ac:dyDescent="0.5">
      <c r="A66" s="25"/>
      <c r="B66" s="991"/>
      <c r="C66" s="157"/>
      <c r="D66" s="25"/>
      <c r="E66" s="25"/>
      <c r="F66" s="490"/>
      <c r="G66" s="128"/>
      <c r="H66" s="128"/>
      <c r="I66" s="128"/>
      <c r="J66" s="128"/>
      <c r="K66" s="25"/>
      <c r="L66" s="25"/>
      <c r="M66" s="25"/>
      <c r="N66" s="25"/>
      <c r="O66" s="25"/>
      <c r="P66" s="25"/>
      <c r="Q66" s="25"/>
      <c r="R66" s="25"/>
      <c r="S66" s="25"/>
      <c r="T66" s="25"/>
      <c r="U66" s="25"/>
      <c r="V66" s="25"/>
      <c r="W66" s="25"/>
      <c r="X66" s="25"/>
    </row>
    <row r="67" spans="1:24" ht="14.65" hidden="1" customHeight="1" x14ac:dyDescent="0.5">
      <c r="A67" s="25"/>
      <c r="B67" s="992"/>
      <c r="C67" s="25"/>
      <c r="D67" s="25"/>
      <c r="E67" s="25"/>
      <c r="F67" s="490"/>
      <c r="G67" s="128"/>
      <c r="H67" s="128"/>
      <c r="I67" s="128"/>
      <c r="J67" s="128"/>
      <c r="K67" s="25"/>
      <c r="L67" s="25"/>
      <c r="M67" s="25"/>
      <c r="N67" s="25"/>
      <c r="O67" s="25"/>
      <c r="P67" s="25"/>
      <c r="Q67" s="25"/>
      <c r="R67" s="25"/>
      <c r="S67" s="25"/>
      <c r="T67" s="25"/>
      <c r="U67" s="25"/>
      <c r="V67" s="25"/>
      <c r="W67" s="25"/>
      <c r="X67" s="25"/>
    </row>
    <row r="68" spans="1:24" ht="14.65" hidden="1" customHeight="1" x14ac:dyDescent="0.5">
      <c r="A68" s="25"/>
      <c r="B68" s="992"/>
      <c r="C68" s="25"/>
      <c r="D68" s="25"/>
      <c r="E68" s="25"/>
      <c r="F68" s="490"/>
      <c r="G68" s="128"/>
      <c r="H68" s="128"/>
      <c r="I68" s="128"/>
      <c r="J68" s="128"/>
      <c r="K68" s="25"/>
      <c r="L68" s="25"/>
      <c r="M68" s="25"/>
      <c r="N68" s="25"/>
      <c r="O68" s="25"/>
      <c r="P68" s="25"/>
      <c r="Q68" s="25"/>
      <c r="R68" s="25"/>
      <c r="S68" s="25"/>
      <c r="T68" s="25"/>
      <c r="U68" s="25"/>
      <c r="V68" s="25"/>
      <c r="W68" s="25"/>
      <c r="X68" s="25"/>
    </row>
    <row r="69" spans="1:24" ht="14.65" hidden="1" customHeight="1" x14ac:dyDescent="0.5">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65" hidden="1" customHeight="1" x14ac:dyDescent="0.5">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65" hidden="1" customHeight="1" x14ac:dyDescent="0.5"/>
    <row r="72" spans="1:24" ht="14.65" hidden="1" customHeight="1" x14ac:dyDescent="0.5"/>
    <row r="73" spans="1:24" ht="14.65" hidden="1" customHeight="1" x14ac:dyDescent="0.5"/>
    <row r="74" spans="1:24" ht="14.65" hidden="1" customHeight="1" x14ac:dyDescent="0.5"/>
  </sheetData>
  <sheetProtection algorithmName="SHA-512" hashValue="CPWHtAMF7SpnvrSWv0Sibkx3QVUJmsj+Ii7g8fJDF6Cc3cwRYHkCPqCssri2ubNlRlpAjOubpKNTS7vGtFyCeQ==" saltValue="zAp2uNto8KEFoOhQkgDSfg=="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26" activePane="bottomRight" state="frozen"/>
      <selection pane="topRight" activeCell="B1" sqref="B1"/>
      <selection pane="bottomLeft" activeCell="A4" sqref="A4"/>
      <selection pane="bottomRight"/>
    </sheetView>
  </sheetViews>
  <sheetFormatPr defaultColWidth="0" defaultRowHeight="14.25" zeroHeight="1" x14ac:dyDescent="0.45"/>
  <cols>
    <col min="1" max="2" width="8.86328125" customWidth="1"/>
    <col min="3" max="3" width="78.59765625" bestFit="1" customWidth="1"/>
    <col min="4" max="4" width="28.59765625" style="18" customWidth="1"/>
    <col min="5" max="5" width="14.3984375" hidden="1" customWidth="1"/>
    <col min="6" max="6" width="18.3984375" hidden="1" customWidth="1"/>
    <col min="7" max="7" width="15.86328125" style="18" customWidth="1"/>
    <col min="8" max="8" width="34.59765625" style="20" customWidth="1"/>
    <col min="9" max="9" width="13" customWidth="1"/>
    <col min="10" max="10" width="12.86328125" bestFit="1" customWidth="1"/>
    <col min="11" max="11" width="23.86328125" hidden="1" customWidth="1"/>
    <col min="12" max="25" width="8.86328125" customWidth="1"/>
    <col min="26" max="16384" width="8.86328125" hidden="1"/>
  </cols>
  <sheetData>
    <row r="1" spans="1:25" ht="26.25" customHeight="1" thickBot="1" x14ac:dyDescent="0.5">
      <c r="A1" s="25"/>
      <c r="B1" s="1014" t="s">
        <v>285</v>
      </c>
      <c r="C1" s="1015"/>
      <c r="D1" s="1015"/>
      <c r="E1" s="1015"/>
      <c r="F1" s="1015"/>
      <c r="G1" s="1015"/>
      <c r="H1" s="1015"/>
      <c r="I1" s="1015"/>
      <c r="J1" s="1016"/>
      <c r="K1" s="219">
        <v>9</v>
      </c>
      <c r="L1" s="25"/>
      <c r="M1" s="25"/>
      <c r="N1" s="25"/>
      <c r="O1" s="25"/>
      <c r="P1" s="25"/>
      <c r="Q1" s="25"/>
      <c r="R1" s="25"/>
      <c r="S1" s="25"/>
      <c r="T1" s="25"/>
      <c r="U1" s="25"/>
      <c r="V1" s="25"/>
      <c r="W1" s="25"/>
      <c r="X1" s="25"/>
      <c r="Y1" s="25"/>
    </row>
    <row r="2" spans="1:25" ht="18" x14ac:dyDescent="0.55000000000000004">
      <c r="A2" s="25"/>
      <c r="B2" s="1012" t="s">
        <v>49</v>
      </c>
      <c r="C2" s="1009" t="s">
        <v>258</v>
      </c>
      <c r="D2" s="1009"/>
      <c r="E2" s="1009"/>
      <c r="F2" s="1009"/>
      <c r="G2" s="1010" t="s">
        <v>85</v>
      </c>
      <c r="H2" s="1010"/>
      <c r="I2" s="1011" t="s">
        <v>286</v>
      </c>
      <c r="J2" s="1011"/>
      <c r="K2" s="129" t="s">
        <v>287</v>
      </c>
      <c r="L2" s="25"/>
      <c r="M2" s="25"/>
      <c r="N2" s="25"/>
      <c r="O2" s="25"/>
      <c r="P2" s="25"/>
      <c r="Q2" s="25"/>
      <c r="R2" s="25"/>
      <c r="S2" s="25"/>
      <c r="T2" s="25"/>
      <c r="U2" s="25"/>
      <c r="V2" s="25"/>
      <c r="W2" s="25"/>
      <c r="X2" s="25"/>
      <c r="Y2" s="25"/>
    </row>
    <row r="3" spans="1:25" ht="42.75" x14ac:dyDescent="0.45">
      <c r="A3" s="25"/>
      <c r="B3" s="1013"/>
      <c r="C3" s="130" t="s">
        <v>258</v>
      </c>
      <c r="D3" s="130" t="s">
        <v>288</v>
      </c>
      <c r="E3" s="130" t="s">
        <v>289</v>
      </c>
      <c r="F3" s="130" t="s">
        <v>290</v>
      </c>
      <c r="G3" s="276" t="s">
        <v>291</v>
      </c>
      <c r="H3" s="276" t="s">
        <v>292</v>
      </c>
      <c r="I3" s="62" t="s">
        <v>293</v>
      </c>
      <c r="J3" s="62" t="s">
        <v>294</v>
      </c>
      <c r="K3" s="131" t="s">
        <v>295</v>
      </c>
      <c r="L3" s="25"/>
      <c r="M3" s="25"/>
      <c r="N3" s="25"/>
      <c r="O3" s="25"/>
      <c r="P3" s="25"/>
      <c r="Q3" s="25"/>
      <c r="R3" s="25"/>
      <c r="S3" s="25"/>
      <c r="T3" s="25"/>
      <c r="U3" s="25"/>
      <c r="V3" s="25"/>
      <c r="W3" s="25"/>
      <c r="X3" s="25"/>
      <c r="Y3" s="25"/>
    </row>
    <row r="4" spans="1:25" ht="28.5" x14ac:dyDescent="0.45">
      <c r="A4" s="25"/>
      <c r="B4" s="7">
        <v>1</v>
      </c>
      <c r="C4" s="7" t="s">
        <v>296</v>
      </c>
      <c r="D4" s="7" t="s">
        <v>202</v>
      </c>
      <c r="E4" s="7"/>
      <c r="F4" s="7"/>
      <c r="G4" s="9" t="s">
        <v>205</v>
      </c>
      <c r="H4" s="9" t="s">
        <v>297</v>
      </c>
      <c r="I4" s="9" t="s">
        <v>203</v>
      </c>
      <c r="J4" s="9" t="s">
        <v>203</v>
      </c>
      <c r="K4" s="7" t="s">
        <v>203</v>
      </c>
      <c r="L4" s="25"/>
      <c r="M4" s="25"/>
      <c r="N4" s="25"/>
      <c r="O4" s="25"/>
      <c r="P4" s="25"/>
      <c r="Q4" s="25"/>
      <c r="R4" s="25"/>
      <c r="S4" s="25"/>
      <c r="T4" s="25"/>
      <c r="U4" s="25"/>
      <c r="V4" s="25"/>
      <c r="W4" s="25"/>
      <c r="X4" s="25"/>
      <c r="Y4" s="25"/>
    </row>
    <row r="5" spans="1:25" ht="28.5" x14ac:dyDescent="0.45">
      <c r="A5" s="25"/>
      <c r="B5" s="7">
        <v>2</v>
      </c>
      <c r="C5" s="7" t="s">
        <v>298</v>
      </c>
      <c r="D5" s="7" t="s">
        <v>202</v>
      </c>
      <c r="E5" s="7"/>
      <c r="F5" s="7"/>
      <c r="G5" s="9" t="s">
        <v>205</v>
      </c>
      <c r="H5" s="9" t="s">
        <v>297</v>
      </c>
      <c r="I5" s="9" t="s">
        <v>203</v>
      </c>
      <c r="J5" s="9" t="s">
        <v>203</v>
      </c>
      <c r="K5" s="7" t="s">
        <v>203</v>
      </c>
      <c r="L5" s="25"/>
      <c r="M5" s="25"/>
      <c r="N5" s="25"/>
      <c r="O5" s="25"/>
      <c r="P5" s="25"/>
      <c r="Q5" s="25"/>
      <c r="R5" s="25"/>
      <c r="S5" s="25"/>
      <c r="T5" s="25"/>
      <c r="U5" s="25"/>
      <c r="V5" s="25"/>
      <c r="W5" s="25"/>
      <c r="X5" s="25"/>
      <c r="Y5" s="25"/>
    </row>
    <row r="6" spans="1:25" ht="28.5" x14ac:dyDescent="0.45">
      <c r="A6" s="25"/>
      <c r="B6" s="7">
        <v>3</v>
      </c>
      <c r="C6" s="7" t="s">
        <v>299</v>
      </c>
      <c r="D6" s="7" t="s">
        <v>202</v>
      </c>
      <c r="E6" s="7"/>
      <c r="F6" s="7"/>
      <c r="G6" s="9" t="s">
        <v>205</v>
      </c>
      <c r="H6" s="9" t="s">
        <v>297</v>
      </c>
      <c r="I6" s="9" t="s">
        <v>203</v>
      </c>
      <c r="J6" s="9" t="s">
        <v>203</v>
      </c>
      <c r="K6" s="7" t="s">
        <v>203</v>
      </c>
      <c r="L6" s="25"/>
      <c r="M6" s="25"/>
      <c r="N6" s="25"/>
      <c r="O6" s="25"/>
      <c r="P6" s="25"/>
      <c r="Q6" s="25"/>
      <c r="R6" s="25"/>
      <c r="S6" s="25"/>
      <c r="T6" s="25"/>
      <c r="U6" s="25"/>
      <c r="V6" s="25"/>
      <c r="W6" s="25"/>
      <c r="X6" s="25"/>
      <c r="Y6" s="25"/>
    </row>
    <row r="7" spans="1:25" ht="28.5" x14ac:dyDescent="0.45">
      <c r="A7" s="25"/>
      <c r="B7" s="7">
        <v>4</v>
      </c>
      <c r="C7" s="7" t="s">
        <v>300</v>
      </c>
      <c r="D7" s="7" t="s">
        <v>202</v>
      </c>
      <c r="E7" s="7"/>
      <c r="F7" s="7"/>
      <c r="G7" s="9" t="s">
        <v>205</v>
      </c>
      <c r="H7" s="9" t="s">
        <v>297</v>
      </c>
      <c r="I7" s="9" t="s">
        <v>203</v>
      </c>
      <c r="J7" s="9" t="s">
        <v>203</v>
      </c>
      <c r="K7" s="7" t="s">
        <v>203</v>
      </c>
      <c r="L7" s="25"/>
      <c r="M7" s="25"/>
      <c r="N7" s="25"/>
      <c r="O7" s="25"/>
      <c r="P7" s="25"/>
      <c r="Q7" s="25"/>
      <c r="R7" s="25"/>
      <c r="S7" s="25"/>
      <c r="T7" s="25"/>
      <c r="U7" s="25"/>
      <c r="V7" s="25"/>
      <c r="W7" s="25"/>
      <c r="X7" s="25"/>
      <c r="Y7" s="25"/>
    </row>
    <row r="8" spans="1:25" ht="28.5" x14ac:dyDescent="0.45">
      <c r="A8" s="25"/>
      <c r="B8" s="7">
        <v>5</v>
      </c>
      <c r="C8" s="7" t="s">
        <v>301</v>
      </c>
      <c r="D8" s="7" t="s">
        <v>202</v>
      </c>
      <c r="E8" s="7"/>
      <c r="F8" s="7"/>
      <c r="G8" s="9" t="s">
        <v>203</v>
      </c>
      <c r="H8" s="9" t="s">
        <v>302</v>
      </c>
      <c r="I8" s="9" t="s">
        <v>203</v>
      </c>
      <c r="J8" s="9" t="s">
        <v>203</v>
      </c>
      <c r="K8" s="7" t="s">
        <v>203</v>
      </c>
      <c r="L8" s="25"/>
      <c r="M8" s="25"/>
      <c r="N8" s="25"/>
      <c r="O8" s="25"/>
      <c r="P8" s="25"/>
      <c r="Q8" s="25"/>
      <c r="R8" s="25"/>
      <c r="S8" s="25"/>
      <c r="T8" s="25"/>
      <c r="U8" s="25"/>
      <c r="V8" s="25"/>
      <c r="W8" s="25"/>
      <c r="X8" s="25"/>
      <c r="Y8" s="25"/>
    </row>
    <row r="9" spans="1:25" ht="28.5" x14ac:dyDescent="0.45">
      <c r="A9" s="25"/>
      <c r="B9" s="7">
        <f>B8+1</f>
        <v>6</v>
      </c>
      <c r="C9" s="7" t="s">
        <v>303</v>
      </c>
      <c r="D9" s="7" t="s">
        <v>202</v>
      </c>
      <c r="E9" s="7"/>
      <c r="F9" s="7"/>
      <c r="G9" s="9" t="s">
        <v>203</v>
      </c>
      <c r="H9" s="9" t="s">
        <v>302</v>
      </c>
      <c r="I9" s="9" t="s">
        <v>203</v>
      </c>
      <c r="J9" s="9" t="s">
        <v>203</v>
      </c>
      <c r="K9" s="7" t="s">
        <v>203</v>
      </c>
      <c r="L9" s="25"/>
      <c r="M9" s="25"/>
      <c r="N9" s="25"/>
      <c r="O9" s="25"/>
      <c r="P9" s="25"/>
      <c r="Q9" s="25"/>
      <c r="R9" s="25"/>
      <c r="S9" s="25"/>
      <c r="T9" s="25"/>
      <c r="U9" s="25"/>
      <c r="V9" s="25"/>
      <c r="W9" s="25"/>
      <c r="X9" s="25"/>
      <c r="Y9" s="25"/>
    </row>
    <row r="10" spans="1:25" ht="28.5" x14ac:dyDescent="0.45">
      <c r="A10" s="25"/>
      <c r="B10" s="7">
        <f t="shared" ref="B10:B76" si="0">B9+1</f>
        <v>7</v>
      </c>
      <c r="C10" s="7" t="s">
        <v>304</v>
      </c>
      <c r="D10" s="7" t="s">
        <v>202</v>
      </c>
      <c r="E10" s="7"/>
      <c r="F10" s="7"/>
      <c r="G10" s="9" t="s">
        <v>203</v>
      </c>
      <c r="H10" s="9" t="s">
        <v>302</v>
      </c>
      <c r="I10" s="9" t="s">
        <v>203</v>
      </c>
      <c r="J10" s="9" t="s">
        <v>203</v>
      </c>
      <c r="K10" s="7" t="s">
        <v>203</v>
      </c>
      <c r="L10" s="25"/>
      <c r="M10" s="25"/>
      <c r="N10" s="25"/>
      <c r="O10" s="25"/>
      <c r="P10" s="25"/>
      <c r="Q10" s="25"/>
      <c r="R10" s="25"/>
      <c r="S10" s="25"/>
      <c r="T10" s="25"/>
      <c r="U10" s="25"/>
      <c r="V10" s="25"/>
      <c r="W10" s="25"/>
      <c r="X10" s="25"/>
      <c r="Y10" s="25"/>
    </row>
    <row r="11" spans="1:25" ht="28.5" x14ac:dyDescent="0.45">
      <c r="A11" s="25"/>
      <c r="B11" s="7">
        <f t="shared" si="0"/>
        <v>8</v>
      </c>
      <c r="C11" s="7" t="s">
        <v>305</v>
      </c>
      <c r="D11" s="7" t="s">
        <v>202</v>
      </c>
      <c r="E11" s="7"/>
      <c r="F11" s="7"/>
      <c r="G11" s="9" t="s">
        <v>203</v>
      </c>
      <c r="H11" s="9" t="s">
        <v>302</v>
      </c>
      <c r="I11" s="9" t="s">
        <v>203</v>
      </c>
      <c r="J11" s="9" t="s">
        <v>203</v>
      </c>
      <c r="K11" s="7" t="s">
        <v>203</v>
      </c>
      <c r="L11" s="25"/>
      <c r="M11" s="25"/>
      <c r="N11" s="25"/>
      <c r="O11" s="25"/>
      <c r="P11" s="25"/>
      <c r="Q11" s="25"/>
      <c r="R11" s="25"/>
      <c r="S11" s="25"/>
      <c r="T11" s="25"/>
      <c r="U11" s="25"/>
      <c r="V11" s="25"/>
      <c r="W11" s="25"/>
      <c r="X11" s="25"/>
      <c r="Y11" s="25"/>
    </row>
    <row r="12" spans="1:25" ht="28.5" x14ac:dyDescent="0.45">
      <c r="A12" s="25"/>
      <c r="B12" s="7">
        <f t="shared" si="0"/>
        <v>9</v>
      </c>
      <c r="C12" s="7" t="s">
        <v>306</v>
      </c>
      <c r="D12" s="7" t="s">
        <v>202</v>
      </c>
      <c r="E12" s="7"/>
      <c r="F12" s="7"/>
      <c r="G12" s="9" t="s">
        <v>203</v>
      </c>
      <c r="H12" s="9" t="s">
        <v>302</v>
      </c>
      <c r="I12" s="9" t="s">
        <v>203</v>
      </c>
      <c r="J12" s="9" t="s">
        <v>203</v>
      </c>
      <c r="K12" s="7" t="s">
        <v>203</v>
      </c>
      <c r="L12" s="25"/>
      <c r="M12" s="25"/>
      <c r="N12" s="25"/>
      <c r="O12" s="25"/>
      <c r="P12" s="25"/>
      <c r="Q12" s="25"/>
      <c r="R12" s="25"/>
      <c r="S12" s="25"/>
      <c r="T12" s="25"/>
      <c r="U12" s="25"/>
      <c r="V12" s="25"/>
      <c r="W12" s="25"/>
      <c r="X12" s="25"/>
      <c r="Y12" s="25"/>
    </row>
    <row r="13" spans="1:25" ht="28.5" x14ac:dyDescent="0.45">
      <c r="A13" s="25"/>
      <c r="B13" s="7">
        <f t="shared" si="0"/>
        <v>10</v>
      </c>
      <c r="C13" s="7" t="s">
        <v>307</v>
      </c>
      <c r="D13" s="7" t="s">
        <v>202</v>
      </c>
      <c r="E13" s="7"/>
      <c r="F13" s="7"/>
      <c r="G13" s="9" t="s">
        <v>203</v>
      </c>
      <c r="H13" s="9" t="s">
        <v>302</v>
      </c>
      <c r="I13" s="9" t="s">
        <v>203</v>
      </c>
      <c r="J13" s="9" t="s">
        <v>203</v>
      </c>
      <c r="K13" s="7" t="s">
        <v>203</v>
      </c>
      <c r="L13" s="25"/>
      <c r="M13" s="25"/>
      <c r="N13" s="25"/>
      <c r="O13" s="25"/>
      <c r="P13" s="25"/>
      <c r="Q13" s="25"/>
      <c r="R13" s="25"/>
      <c r="S13" s="25"/>
      <c r="T13" s="25"/>
      <c r="U13" s="25"/>
      <c r="V13" s="25"/>
      <c r="W13" s="25"/>
      <c r="X13" s="25"/>
      <c r="Y13" s="25"/>
    </row>
    <row r="14" spans="1:25" ht="28.5" x14ac:dyDescent="0.45">
      <c r="A14" s="25"/>
      <c r="B14" s="7">
        <f t="shared" si="0"/>
        <v>11</v>
      </c>
      <c r="C14" s="7" t="s">
        <v>308</v>
      </c>
      <c r="D14" s="7" t="s">
        <v>206</v>
      </c>
      <c r="E14" s="7"/>
      <c r="F14" s="7"/>
      <c r="G14" s="9" t="s">
        <v>203</v>
      </c>
      <c r="H14" s="9" t="s">
        <v>302</v>
      </c>
      <c r="I14" s="9" t="s">
        <v>203</v>
      </c>
      <c r="J14" s="9" t="s">
        <v>203</v>
      </c>
      <c r="K14" s="7" t="s">
        <v>203</v>
      </c>
      <c r="L14" s="25"/>
      <c r="M14" s="25"/>
      <c r="N14" s="25"/>
      <c r="O14" s="25"/>
      <c r="P14" s="25"/>
      <c r="Q14" s="25"/>
      <c r="R14" s="25"/>
      <c r="S14" s="25"/>
      <c r="T14" s="25"/>
      <c r="U14" s="25"/>
      <c r="V14" s="25"/>
      <c r="W14" s="25"/>
      <c r="X14" s="25"/>
      <c r="Y14" s="25"/>
    </row>
    <row r="15" spans="1:25" ht="28.5" x14ac:dyDescent="0.45">
      <c r="A15" s="25"/>
      <c r="B15" s="7">
        <f t="shared" si="0"/>
        <v>12</v>
      </c>
      <c r="C15" s="7" t="s">
        <v>309</v>
      </c>
      <c r="D15" s="7" t="s">
        <v>206</v>
      </c>
      <c r="E15" s="7"/>
      <c r="F15" s="7"/>
      <c r="G15" s="9" t="s">
        <v>203</v>
      </c>
      <c r="H15" s="9" t="s">
        <v>302</v>
      </c>
      <c r="I15" s="9" t="s">
        <v>203</v>
      </c>
      <c r="J15" s="9" t="s">
        <v>203</v>
      </c>
      <c r="K15" s="7" t="s">
        <v>203</v>
      </c>
      <c r="L15" s="25"/>
      <c r="M15" s="25"/>
      <c r="N15" s="25"/>
      <c r="O15" s="25"/>
      <c r="P15" s="25"/>
      <c r="Q15" s="25"/>
      <c r="R15" s="25"/>
      <c r="S15" s="25"/>
      <c r="T15" s="25"/>
      <c r="U15" s="25"/>
      <c r="V15" s="25"/>
      <c r="W15" s="25"/>
      <c r="X15" s="25"/>
      <c r="Y15" s="25"/>
    </row>
    <row r="16" spans="1:25" ht="28.5" x14ac:dyDescent="0.45">
      <c r="A16" s="25"/>
      <c r="B16" s="7">
        <f t="shared" si="0"/>
        <v>13</v>
      </c>
      <c r="C16" s="7" t="s">
        <v>310</v>
      </c>
      <c r="D16" s="7" t="s">
        <v>206</v>
      </c>
      <c r="E16" s="7"/>
      <c r="F16" s="7"/>
      <c r="G16" s="9" t="s">
        <v>205</v>
      </c>
      <c r="H16" s="9" t="s">
        <v>297</v>
      </c>
      <c r="I16" s="9" t="s">
        <v>203</v>
      </c>
      <c r="J16" s="9" t="s">
        <v>203</v>
      </c>
      <c r="K16" s="7" t="s">
        <v>203</v>
      </c>
      <c r="L16" s="25"/>
      <c r="M16" s="25"/>
      <c r="N16" s="25"/>
      <c r="O16" s="25"/>
      <c r="P16" s="25"/>
      <c r="Q16" s="25"/>
      <c r="R16" s="25"/>
      <c r="S16" s="25"/>
      <c r="T16" s="25"/>
      <c r="U16" s="25"/>
      <c r="V16" s="25"/>
      <c r="W16" s="25"/>
      <c r="X16" s="25"/>
      <c r="Y16" s="25"/>
    </row>
    <row r="17" spans="1:25" ht="28.5" x14ac:dyDescent="0.45">
      <c r="A17" s="25"/>
      <c r="B17" s="7">
        <f t="shared" si="0"/>
        <v>14</v>
      </c>
      <c r="C17" s="7" t="s">
        <v>311</v>
      </c>
      <c r="D17" s="7" t="s">
        <v>206</v>
      </c>
      <c r="E17" s="7"/>
      <c r="F17" s="7"/>
      <c r="G17" s="9" t="s">
        <v>205</v>
      </c>
      <c r="H17" s="9" t="s">
        <v>297</v>
      </c>
      <c r="I17" s="9" t="s">
        <v>203</v>
      </c>
      <c r="J17" s="9" t="s">
        <v>203</v>
      </c>
      <c r="K17" s="7" t="s">
        <v>203</v>
      </c>
      <c r="L17" s="25"/>
      <c r="M17" s="25"/>
      <c r="N17" s="25"/>
      <c r="O17" s="25"/>
      <c r="P17" s="25"/>
      <c r="Q17" s="25"/>
      <c r="R17" s="25"/>
      <c r="S17" s="25"/>
      <c r="T17" s="25"/>
      <c r="U17" s="25"/>
      <c r="V17" s="25"/>
      <c r="W17" s="25"/>
      <c r="X17" s="25"/>
      <c r="Y17" s="25"/>
    </row>
    <row r="18" spans="1:25" ht="28.5" x14ac:dyDescent="0.45">
      <c r="A18" s="25"/>
      <c r="B18" s="7">
        <f t="shared" si="0"/>
        <v>15</v>
      </c>
      <c r="C18" s="7" t="s">
        <v>312</v>
      </c>
      <c r="D18" s="7" t="s">
        <v>206</v>
      </c>
      <c r="E18" s="7"/>
      <c r="F18" s="7"/>
      <c r="G18" s="9" t="s">
        <v>205</v>
      </c>
      <c r="H18" s="9" t="s">
        <v>297</v>
      </c>
      <c r="I18" s="9" t="s">
        <v>203</v>
      </c>
      <c r="J18" s="9" t="s">
        <v>203</v>
      </c>
      <c r="K18" s="7" t="s">
        <v>203</v>
      </c>
      <c r="L18" s="25"/>
      <c r="M18" s="25"/>
      <c r="N18" s="25"/>
      <c r="O18" s="25"/>
      <c r="P18" s="25"/>
      <c r="Q18" s="25"/>
      <c r="R18" s="25"/>
      <c r="S18" s="25"/>
      <c r="T18" s="25"/>
      <c r="U18" s="25"/>
      <c r="V18" s="25"/>
      <c r="W18" s="25"/>
      <c r="X18" s="25"/>
      <c r="Y18" s="25"/>
    </row>
    <row r="19" spans="1:25" ht="28.5" x14ac:dyDescent="0.45">
      <c r="A19" s="25"/>
      <c r="B19" s="7">
        <f t="shared" si="0"/>
        <v>16</v>
      </c>
      <c r="C19" s="7" t="s">
        <v>313</v>
      </c>
      <c r="D19" s="7" t="s">
        <v>207</v>
      </c>
      <c r="E19" s="7"/>
      <c r="F19" s="7"/>
      <c r="G19" s="9" t="s">
        <v>205</v>
      </c>
      <c r="H19" s="9" t="s">
        <v>297</v>
      </c>
      <c r="I19" s="9" t="s">
        <v>203</v>
      </c>
      <c r="J19" s="9" t="s">
        <v>203</v>
      </c>
      <c r="K19" s="7" t="s">
        <v>203</v>
      </c>
      <c r="L19" s="25"/>
      <c r="M19" s="25"/>
      <c r="N19" s="25"/>
      <c r="O19" s="25"/>
      <c r="P19" s="25"/>
      <c r="Q19" s="25"/>
      <c r="R19" s="25"/>
      <c r="S19" s="25"/>
      <c r="T19" s="25"/>
      <c r="U19" s="25"/>
      <c r="V19" s="25"/>
      <c r="W19" s="25"/>
      <c r="X19" s="25"/>
      <c r="Y19" s="25"/>
    </row>
    <row r="20" spans="1:25" ht="28.5" x14ac:dyDescent="0.45">
      <c r="A20" s="25"/>
      <c r="B20" s="7">
        <f t="shared" si="0"/>
        <v>17</v>
      </c>
      <c r="C20" s="7" t="s">
        <v>314</v>
      </c>
      <c r="D20" s="7" t="s">
        <v>207</v>
      </c>
      <c r="E20" s="7"/>
      <c r="F20" s="7"/>
      <c r="G20" s="9" t="s">
        <v>205</v>
      </c>
      <c r="H20" s="9" t="s">
        <v>297</v>
      </c>
      <c r="I20" s="9" t="s">
        <v>203</v>
      </c>
      <c r="J20" s="9" t="s">
        <v>203</v>
      </c>
      <c r="K20" s="7" t="s">
        <v>203</v>
      </c>
      <c r="L20" s="25"/>
      <c r="M20" s="25"/>
      <c r="N20" s="25"/>
      <c r="O20" s="25"/>
      <c r="P20" s="25"/>
      <c r="Q20" s="25"/>
      <c r="R20" s="25"/>
      <c r="S20" s="25"/>
      <c r="T20" s="25"/>
      <c r="U20" s="25"/>
      <c r="V20" s="25"/>
      <c r="W20" s="25"/>
      <c r="X20" s="25"/>
      <c r="Y20" s="25"/>
    </row>
    <row r="21" spans="1:25" ht="28.5" x14ac:dyDescent="0.45">
      <c r="A21" s="25"/>
      <c r="B21" s="7">
        <f t="shared" si="0"/>
        <v>18</v>
      </c>
      <c r="C21" s="7" t="s">
        <v>315</v>
      </c>
      <c r="D21" s="7" t="s">
        <v>207</v>
      </c>
      <c r="E21" s="7"/>
      <c r="F21" s="7"/>
      <c r="G21" s="9" t="s">
        <v>205</v>
      </c>
      <c r="H21" s="9" t="s">
        <v>297</v>
      </c>
      <c r="I21" s="9" t="s">
        <v>203</v>
      </c>
      <c r="J21" s="9" t="s">
        <v>203</v>
      </c>
      <c r="K21" s="7" t="s">
        <v>203</v>
      </c>
      <c r="L21" s="25"/>
      <c r="M21" s="25"/>
      <c r="N21" s="25"/>
      <c r="O21" s="25"/>
      <c r="P21" s="25"/>
      <c r="Q21" s="25"/>
      <c r="R21" s="25"/>
      <c r="S21" s="25"/>
      <c r="T21" s="25"/>
      <c r="U21" s="25"/>
      <c r="V21" s="25"/>
      <c r="W21" s="25"/>
      <c r="X21" s="25"/>
      <c r="Y21" s="25"/>
    </row>
    <row r="22" spans="1:25" ht="28.5" x14ac:dyDescent="0.45">
      <c r="A22" s="25"/>
      <c r="B22" s="7">
        <f t="shared" si="0"/>
        <v>19</v>
      </c>
      <c r="C22" s="7" t="s">
        <v>316</v>
      </c>
      <c r="D22" s="7" t="s">
        <v>207</v>
      </c>
      <c r="E22" s="7"/>
      <c r="F22" s="7"/>
      <c r="G22" s="9" t="s">
        <v>205</v>
      </c>
      <c r="H22" s="9" t="s">
        <v>297</v>
      </c>
      <c r="I22" s="9" t="s">
        <v>203</v>
      </c>
      <c r="J22" s="9" t="s">
        <v>203</v>
      </c>
      <c r="K22" s="7" t="s">
        <v>203</v>
      </c>
      <c r="L22" s="25"/>
      <c r="M22" s="25"/>
      <c r="N22" s="25"/>
      <c r="O22" s="25"/>
      <c r="P22" s="25"/>
      <c r="Q22" s="25"/>
      <c r="R22" s="25"/>
      <c r="S22" s="25"/>
      <c r="T22" s="25"/>
      <c r="U22" s="25"/>
      <c r="V22" s="25"/>
      <c r="W22" s="25"/>
      <c r="X22" s="25"/>
      <c r="Y22" s="25"/>
    </row>
    <row r="23" spans="1:25" ht="28.5" x14ac:dyDescent="0.45">
      <c r="A23" s="25"/>
      <c r="B23" s="7">
        <f t="shared" si="0"/>
        <v>20</v>
      </c>
      <c r="C23" s="7" t="s">
        <v>317</v>
      </c>
      <c r="D23" s="7" t="s">
        <v>207</v>
      </c>
      <c r="E23" s="7"/>
      <c r="F23" s="7"/>
      <c r="G23" s="9" t="s">
        <v>205</v>
      </c>
      <c r="H23" s="9" t="s">
        <v>297</v>
      </c>
      <c r="I23" s="9" t="s">
        <v>205</v>
      </c>
      <c r="J23" s="9" t="s">
        <v>203</v>
      </c>
      <c r="K23" s="7" t="s">
        <v>203</v>
      </c>
      <c r="L23" s="25"/>
      <c r="M23" s="25"/>
      <c r="N23" s="25"/>
      <c r="O23" s="25"/>
      <c r="P23" s="25"/>
      <c r="Q23" s="25"/>
      <c r="R23" s="25"/>
      <c r="S23" s="25"/>
      <c r="T23" s="25"/>
      <c r="U23" s="25"/>
      <c r="V23" s="25"/>
      <c r="W23" s="25"/>
      <c r="X23" s="25"/>
      <c r="Y23" s="25"/>
    </row>
    <row r="24" spans="1:25" ht="28.5" x14ac:dyDescent="0.45">
      <c r="A24" s="25"/>
      <c r="B24" s="7">
        <f t="shared" si="0"/>
        <v>21</v>
      </c>
      <c r="C24" s="7" t="s">
        <v>318</v>
      </c>
      <c r="D24" s="7" t="s">
        <v>207</v>
      </c>
      <c r="E24" s="7"/>
      <c r="F24" s="7"/>
      <c r="G24" s="9" t="s">
        <v>205</v>
      </c>
      <c r="H24" s="9" t="s">
        <v>297</v>
      </c>
      <c r="I24" s="9" t="s">
        <v>203</v>
      </c>
      <c r="J24" s="9" t="s">
        <v>203</v>
      </c>
      <c r="K24" s="7" t="s">
        <v>203</v>
      </c>
      <c r="L24" s="25"/>
      <c r="M24" s="25"/>
      <c r="N24" s="25"/>
      <c r="O24" s="25"/>
      <c r="P24" s="25"/>
      <c r="Q24" s="25"/>
      <c r="R24" s="25"/>
      <c r="S24" s="25"/>
      <c r="T24" s="25"/>
      <c r="U24" s="25"/>
      <c r="V24" s="25"/>
      <c r="W24" s="25"/>
      <c r="X24" s="25"/>
      <c r="Y24" s="25"/>
    </row>
    <row r="25" spans="1:25" ht="28.5" x14ac:dyDescent="0.45">
      <c r="A25" s="25"/>
      <c r="B25" s="7">
        <f t="shared" si="0"/>
        <v>22</v>
      </c>
      <c r="C25" s="7" t="s">
        <v>319</v>
      </c>
      <c r="D25" s="7" t="s">
        <v>207</v>
      </c>
      <c r="E25" s="7"/>
      <c r="F25" s="7"/>
      <c r="G25" s="9" t="s">
        <v>203</v>
      </c>
      <c r="H25" s="9" t="s">
        <v>302</v>
      </c>
      <c r="I25" s="9" t="s">
        <v>203</v>
      </c>
      <c r="J25" s="9" t="s">
        <v>203</v>
      </c>
      <c r="K25" s="7" t="s">
        <v>203</v>
      </c>
      <c r="L25" s="25"/>
      <c r="M25" s="25"/>
      <c r="N25" s="25"/>
      <c r="O25" s="25"/>
      <c r="P25" s="25"/>
      <c r="Q25" s="25"/>
      <c r="R25" s="25"/>
      <c r="S25" s="25"/>
      <c r="T25" s="25"/>
      <c r="U25" s="25"/>
      <c r="V25" s="25"/>
      <c r="W25" s="25"/>
      <c r="X25" s="25"/>
      <c r="Y25" s="25"/>
    </row>
    <row r="26" spans="1:25" ht="28.5" x14ac:dyDescent="0.45">
      <c r="A26" s="25"/>
      <c r="B26" s="7">
        <f>B25+1</f>
        <v>23</v>
      </c>
      <c r="C26" s="7" t="s">
        <v>320</v>
      </c>
      <c r="D26" s="7" t="s">
        <v>207</v>
      </c>
      <c r="E26" s="7"/>
      <c r="F26" s="7"/>
      <c r="G26" s="9" t="s">
        <v>203</v>
      </c>
      <c r="H26" s="9" t="s">
        <v>302</v>
      </c>
      <c r="I26" s="9" t="s">
        <v>203</v>
      </c>
      <c r="J26" s="9" t="s">
        <v>203</v>
      </c>
      <c r="K26" s="7" t="s">
        <v>203</v>
      </c>
      <c r="L26" s="25"/>
      <c r="M26" s="25"/>
      <c r="N26" s="25"/>
      <c r="O26" s="25"/>
      <c r="P26" s="25"/>
      <c r="Q26" s="25"/>
      <c r="R26" s="25"/>
      <c r="S26" s="25"/>
      <c r="T26" s="25"/>
      <c r="U26" s="25"/>
      <c r="V26" s="25"/>
      <c r="W26" s="25"/>
      <c r="X26" s="25"/>
      <c r="Y26" s="25"/>
    </row>
    <row r="27" spans="1:25" ht="29.25" customHeight="1" x14ac:dyDescent="0.45">
      <c r="A27" s="25"/>
      <c r="B27" s="7">
        <f>B26+1</f>
        <v>24</v>
      </c>
      <c r="C27" s="7" t="s">
        <v>321</v>
      </c>
      <c r="D27" s="7" t="s">
        <v>207</v>
      </c>
      <c r="E27" s="7"/>
      <c r="F27" s="7"/>
      <c r="G27" s="9" t="s">
        <v>205</v>
      </c>
      <c r="H27" s="9" t="s">
        <v>297</v>
      </c>
      <c r="I27" s="9" t="s">
        <v>205</v>
      </c>
      <c r="J27" s="9" t="s">
        <v>203</v>
      </c>
      <c r="K27" s="7"/>
      <c r="L27" s="25"/>
      <c r="M27" s="25"/>
      <c r="N27" s="25"/>
      <c r="O27" s="25"/>
      <c r="P27" s="25"/>
      <c r="Q27" s="25"/>
      <c r="R27" s="25"/>
      <c r="S27" s="25"/>
      <c r="T27" s="25"/>
      <c r="U27" s="25"/>
      <c r="V27" s="25"/>
      <c r="W27" s="25"/>
      <c r="X27" s="25"/>
      <c r="Y27" s="25"/>
    </row>
    <row r="28" spans="1:25" ht="29.25" customHeight="1" x14ac:dyDescent="0.45">
      <c r="A28" s="25"/>
      <c r="B28" s="7">
        <f>B27+1</f>
        <v>25</v>
      </c>
      <c r="C28" s="7" t="s">
        <v>322</v>
      </c>
      <c r="D28" s="7" t="s">
        <v>210</v>
      </c>
      <c r="E28" s="7"/>
      <c r="F28" s="7"/>
      <c r="G28" s="9" t="s">
        <v>203</v>
      </c>
      <c r="H28" s="9" t="s">
        <v>302</v>
      </c>
      <c r="I28" s="9" t="s">
        <v>203</v>
      </c>
      <c r="J28" s="9" t="s">
        <v>323</v>
      </c>
      <c r="K28" s="7" t="s">
        <v>203</v>
      </c>
      <c r="L28" s="25"/>
      <c r="M28" s="25"/>
      <c r="N28" s="25"/>
      <c r="O28" s="25"/>
      <c r="P28" s="25"/>
      <c r="Q28" s="25"/>
      <c r="R28" s="25"/>
      <c r="S28" s="25"/>
      <c r="T28" s="25"/>
      <c r="U28" s="25"/>
      <c r="V28" s="25"/>
      <c r="W28" s="25"/>
      <c r="X28" s="25"/>
      <c r="Y28" s="25"/>
    </row>
    <row r="29" spans="1:25" ht="28.5" x14ac:dyDescent="0.45">
      <c r="A29" s="25"/>
      <c r="B29" s="7">
        <f t="shared" si="0"/>
        <v>26</v>
      </c>
      <c r="C29" s="7" t="s">
        <v>324</v>
      </c>
      <c r="D29" s="7" t="s">
        <v>210</v>
      </c>
      <c r="E29" s="7"/>
      <c r="F29" s="7"/>
      <c r="G29" s="9" t="s">
        <v>205</v>
      </c>
      <c r="H29" s="9" t="s">
        <v>297</v>
      </c>
      <c r="I29" s="9" t="s">
        <v>203</v>
      </c>
      <c r="J29" s="9" t="s">
        <v>205</v>
      </c>
      <c r="K29" s="7" t="s">
        <v>203</v>
      </c>
      <c r="L29" s="25"/>
      <c r="M29" s="25"/>
      <c r="N29" s="25"/>
      <c r="O29" s="25"/>
      <c r="P29" s="25"/>
      <c r="Q29" s="25"/>
      <c r="R29" s="25"/>
      <c r="S29" s="25"/>
      <c r="T29" s="25"/>
      <c r="U29" s="25"/>
      <c r="V29" s="25"/>
      <c r="W29" s="25"/>
      <c r="X29" s="25"/>
      <c r="Y29" s="25"/>
    </row>
    <row r="30" spans="1:25" ht="28.5" x14ac:dyDescent="0.45">
      <c r="A30" s="25"/>
      <c r="B30" s="7">
        <f t="shared" si="0"/>
        <v>27</v>
      </c>
      <c r="C30" s="7" t="s">
        <v>325</v>
      </c>
      <c r="D30" s="7" t="s">
        <v>210</v>
      </c>
      <c r="E30" s="7"/>
      <c r="F30" s="7"/>
      <c r="G30" s="9" t="s">
        <v>205</v>
      </c>
      <c r="H30" s="9" t="s">
        <v>297</v>
      </c>
      <c r="I30" s="9" t="s">
        <v>205</v>
      </c>
      <c r="J30" s="9" t="s">
        <v>205</v>
      </c>
      <c r="K30" s="7" t="s">
        <v>203</v>
      </c>
      <c r="L30" s="25"/>
      <c r="M30" s="25"/>
      <c r="N30" s="25"/>
      <c r="O30" s="25"/>
      <c r="P30" s="25"/>
      <c r="Q30" s="25"/>
      <c r="R30" s="25"/>
      <c r="S30" s="25"/>
      <c r="T30" s="25"/>
      <c r="U30" s="25"/>
      <c r="V30" s="25"/>
      <c r="W30" s="25"/>
      <c r="X30" s="25"/>
      <c r="Y30" s="25"/>
    </row>
    <row r="31" spans="1:25" ht="28.5" x14ac:dyDescent="0.45">
      <c r="A31" s="25"/>
      <c r="B31" s="7">
        <f t="shared" si="0"/>
        <v>28</v>
      </c>
      <c r="C31" s="7" t="s">
        <v>326</v>
      </c>
      <c r="D31" s="7" t="s">
        <v>211</v>
      </c>
      <c r="E31" s="7"/>
      <c r="F31" s="7"/>
      <c r="G31" s="9" t="s">
        <v>203</v>
      </c>
      <c r="H31" s="9" t="s">
        <v>302</v>
      </c>
      <c r="I31" s="9" t="s">
        <v>203</v>
      </c>
      <c r="J31" s="9" t="s">
        <v>205</v>
      </c>
      <c r="K31" s="7" t="s">
        <v>203</v>
      </c>
      <c r="L31" s="25"/>
      <c r="M31" s="25"/>
      <c r="N31" s="25"/>
      <c r="O31" s="25"/>
      <c r="P31" s="25"/>
      <c r="Q31" s="25"/>
      <c r="R31" s="25"/>
      <c r="S31" s="25"/>
      <c r="T31" s="25"/>
      <c r="U31" s="25"/>
      <c r="V31" s="25"/>
      <c r="W31" s="25"/>
      <c r="X31" s="25"/>
      <c r="Y31" s="25"/>
    </row>
    <row r="32" spans="1:25" ht="28.5" x14ac:dyDescent="0.45">
      <c r="A32" s="25"/>
      <c r="B32" s="7">
        <f t="shared" si="0"/>
        <v>29</v>
      </c>
      <c r="C32" s="7" t="s">
        <v>327</v>
      </c>
      <c r="D32" s="7" t="s">
        <v>211</v>
      </c>
      <c r="E32" s="7"/>
      <c r="F32" s="7"/>
      <c r="G32" s="9" t="s">
        <v>205</v>
      </c>
      <c r="H32" s="9" t="s">
        <v>297</v>
      </c>
      <c r="I32" s="9" t="s">
        <v>205</v>
      </c>
      <c r="J32" s="9" t="s">
        <v>205</v>
      </c>
      <c r="K32" s="7" t="s">
        <v>203</v>
      </c>
      <c r="L32" s="25"/>
      <c r="M32" s="25"/>
      <c r="N32" s="25"/>
      <c r="O32" s="25"/>
      <c r="P32" s="25"/>
      <c r="Q32" s="25"/>
      <c r="R32" s="25"/>
      <c r="S32" s="25"/>
      <c r="T32" s="25"/>
      <c r="U32" s="25"/>
      <c r="V32" s="25"/>
      <c r="W32" s="25"/>
      <c r="X32" s="25"/>
      <c r="Y32" s="25"/>
    </row>
    <row r="33" spans="1:25" ht="29.65" customHeight="1" x14ac:dyDescent="0.45">
      <c r="A33" s="25"/>
      <c r="B33" s="7">
        <f t="shared" si="0"/>
        <v>30</v>
      </c>
      <c r="C33" s="7" t="s">
        <v>328</v>
      </c>
      <c r="D33" s="7" t="s">
        <v>211</v>
      </c>
      <c r="E33" s="7"/>
      <c r="F33" s="7"/>
      <c r="G33" s="9" t="s">
        <v>203</v>
      </c>
      <c r="H33" s="9" t="s">
        <v>302</v>
      </c>
      <c r="I33" s="9" t="s">
        <v>203</v>
      </c>
      <c r="J33" s="9" t="s">
        <v>205</v>
      </c>
      <c r="K33" s="7"/>
      <c r="L33" s="25"/>
      <c r="M33" s="25"/>
      <c r="N33" s="25"/>
      <c r="O33" s="25"/>
      <c r="P33" s="25"/>
      <c r="Q33" s="25"/>
      <c r="R33" s="25"/>
      <c r="S33" s="25"/>
      <c r="T33" s="25"/>
      <c r="U33" s="25"/>
      <c r="V33" s="25"/>
      <c r="W33" s="25"/>
      <c r="X33" s="25"/>
      <c r="Y33" s="25"/>
    </row>
    <row r="34" spans="1:25" ht="28.5" x14ac:dyDescent="0.45">
      <c r="A34" s="25"/>
      <c r="B34" s="7">
        <f>B33+1</f>
        <v>31</v>
      </c>
      <c r="C34" s="7" t="s">
        <v>329</v>
      </c>
      <c r="D34" s="7" t="s">
        <v>212</v>
      </c>
      <c r="E34" s="7"/>
      <c r="F34" s="7"/>
      <c r="G34" s="9" t="s">
        <v>203</v>
      </c>
      <c r="H34" s="9" t="s">
        <v>302</v>
      </c>
      <c r="I34" s="9" t="s">
        <v>203</v>
      </c>
      <c r="J34" s="9" t="s">
        <v>203</v>
      </c>
      <c r="K34" s="7" t="s">
        <v>203</v>
      </c>
      <c r="L34" s="25"/>
      <c r="M34" s="25"/>
      <c r="N34" s="25"/>
      <c r="O34" s="25"/>
      <c r="P34" s="25"/>
      <c r="Q34" s="25"/>
      <c r="R34" s="25"/>
      <c r="S34" s="25"/>
      <c r="T34" s="25"/>
      <c r="U34" s="25"/>
      <c r="V34" s="25"/>
      <c r="W34" s="25"/>
      <c r="X34" s="25"/>
      <c r="Y34" s="25"/>
    </row>
    <row r="35" spans="1:25" ht="28.15" customHeight="1" x14ac:dyDescent="0.45">
      <c r="A35" s="25"/>
      <c r="B35" s="7">
        <f t="shared" si="0"/>
        <v>32</v>
      </c>
      <c r="C35" s="7" t="s">
        <v>330</v>
      </c>
      <c r="D35" s="7" t="s">
        <v>212</v>
      </c>
      <c r="E35" s="7"/>
      <c r="F35" s="7"/>
      <c r="G35" s="9" t="s">
        <v>331</v>
      </c>
      <c r="H35" s="9" t="s">
        <v>332</v>
      </c>
      <c r="I35" s="9" t="s">
        <v>203</v>
      </c>
      <c r="J35" s="9" t="s">
        <v>203</v>
      </c>
      <c r="K35" s="7" t="s">
        <v>203</v>
      </c>
      <c r="L35" s="25"/>
      <c r="M35" s="25"/>
      <c r="N35" s="25"/>
      <c r="O35" s="25"/>
      <c r="P35" s="25"/>
      <c r="Q35" s="25"/>
      <c r="R35" s="25"/>
      <c r="S35" s="25"/>
      <c r="T35" s="25"/>
      <c r="U35" s="25"/>
      <c r="V35" s="25"/>
      <c r="W35" s="25"/>
      <c r="X35" s="25"/>
      <c r="Y35" s="25"/>
    </row>
    <row r="36" spans="1:25" ht="28.5" x14ac:dyDescent="0.45">
      <c r="A36" s="25"/>
      <c r="B36" s="7">
        <f t="shared" si="0"/>
        <v>33</v>
      </c>
      <c r="C36" s="7" t="s">
        <v>333</v>
      </c>
      <c r="D36" s="7" t="s">
        <v>212</v>
      </c>
      <c r="E36" s="7"/>
      <c r="F36" s="7"/>
      <c r="G36" s="9" t="s">
        <v>203</v>
      </c>
      <c r="H36" s="9" t="s">
        <v>302</v>
      </c>
      <c r="I36" s="9" t="s">
        <v>205</v>
      </c>
      <c r="J36" s="9" t="s">
        <v>203</v>
      </c>
      <c r="K36" s="7" t="s">
        <v>203</v>
      </c>
      <c r="L36" s="25"/>
      <c r="M36" s="25"/>
      <c r="N36" s="25"/>
      <c r="O36" s="25"/>
      <c r="P36" s="25"/>
      <c r="Q36" s="25"/>
      <c r="R36" s="25"/>
      <c r="S36" s="25"/>
      <c r="T36" s="25"/>
      <c r="U36" s="25"/>
      <c r="V36" s="25"/>
      <c r="W36" s="25"/>
      <c r="X36" s="25"/>
      <c r="Y36" s="25"/>
    </row>
    <row r="37" spans="1:25" ht="28.5" x14ac:dyDescent="0.45">
      <c r="A37" s="25"/>
      <c r="B37" s="7">
        <f t="shared" si="0"/>
        <v>34</v>
      </c>
      <c r="C37" s="7" t="s">
        <v>334</v>
      </c>
      <c r="D37" s="7" t="s">
        <v>212</v>
      </c>
      <c r="E37" s="7"/>
      <c r="F37" s="7"/>
      <c r="G37" s="9" t="s">
        <v>205</v>
      </c>
      <c r="H37" s="9" t="s">
        <v>297</v>
      </c>
      <c r="I37" s="9" t="s">
        <v>205</v>
      </c>
      <c r="J37" s="9" t="s">
        <v>205</v>
      </c>
      <c r="K37" s="7" t="s">
        <v>203</v>
      </c>
      <c r="L37" s="25"/>
      <c r="M37" s="25"/>
      <c r="N37" s="25"/>
      <c r="O37" s="25"/>
      <c r="P37" s="25"/>
      <c r="Q37" s="25"/>
      <c r="R37" s="25"/>
      <c r="S37" s="25"/>
      <c r="T37" s="25"/>
      <c r="U37" s="25"/>
      <c r="V37" s="25"/>
      <c r="W37" s="25"/>
      <c r="X37" s="25"/>
      <c r="Y37" s="25"/>
    </row>
    <row r="38" spans="1:25" ht="29.25" customHeight="1" x14ac:dyDescent="0.45">
      <c r="A38" s="25"/>
      <c r="B38" s="7">
        <f t="shared" si="0"/>
        <v>35</v>
      </c>
      <c r="C38" s="7" t="s">
        <v>335</v>
      </c>
      <c r="D38" s="7" t="s">
        <v>212</v>
      </c>
      <c r="E38" s="7"/>
      <c r="F38" s="7"/>
      <c r="G38" s="9" t="s">
        <v>331</v>
      </c>
      <c r="H38" s="9" t="s">
        <v>332</v>
      </c>
      <c r="I38" s="9" t="s">
        <v>203</v>
      </c>
      <c r="J38" s="9" t="s">
        <v>203</v>
      </c>
      <c r="K38" s="7" t="s">
        <v>203</v>
      </c>
      <c r="L38" s="25"/>
      <c r="M38" s="25"/>
      <c r="N38" s="25"/>
      <c r="O38" s="25"/>
      <c r="P38" s="25"/>
      <c r="Q38" s="25"/>
      <c r="R38" s="25"/>
      <c r="S38" s="25"/>
      <c r="T38" s="25"/>
      <c r="U38" s="25"/>
      <c r="V38" s="25"/>
      <c r="W38" s="25"/>
      <c r="X38" s="25"/>
      <c r="Y38" s="25"/>
    </row>
    <row r="39" spans="1:25" ht="28.5" x14ac:dyDescent="0.45">
      <c r="A39" s="25"/>
      <c r="B39" s="7">
        <f t="shared" si="0"/>
        <v>36</v>
      </c>
      <c r="C39" s="7" t="s">
        <v>336</v>
      </c>
      <c r="D39" s="7" t="s">
        <v>212</v>
      </c>
      <c r="E39" s="7"/>
      <c r="F39" s="7"/>
      <c r="G39" s="9" t="s">
        <v>205</v>
      </c>
      <c r="H39" s="9" t="s">
        <v>297</v>
      </c>
      <c r="I39" s="9" t="s">
        <v>205</v>
      </c>
      <c r="J39" s="9" t="s">
        <v>203</v>
      </c>
      <c r="K39" s="7" t="s">
        <v>203</v>
      </c>
      <c r="L39" s="25"/>
      <c r="M39" s="25"/>
      <c r="N39" s="25"/>
      <c r="O39" s="25"/>
      <c r="P39" s="25"/>
      <c r="Q39" s="25"/>
      <c r="R39" s="25"/>
      <c r="S39" s="25"/>
      <c r="T39" s="25"/>
      <c r="U39" s="25"/>
      <c r="V39" s="25"/>
      <c r="W39" s="25"/>
      <c r="X39" s="25"/>
      <c r="Y39" s="25"/>
    </row>
    <row r="40" spans="1:25" ht="29.65" customHeight="1" x14ac:dyDescent="0.45">
      <c r="A40" s="25"/>
      <c r="B40" s="7">
        <f t="shared" si="0"/>
        <v>37</v>
      </c>
      <c r="C40" s="7" t="s">
        <v>337</v>
      </c>
      <c r="D40" s="7" t="s">
        <v>212</v>
      </c>
      <c r="E40" s="7"/>
      <c r="F40" s="7"/>
      <c r="G40" s="9" t="s">
        <v>331</v>
      </c>
      <c r="H40" s="9" t="s">
        <v>332</v>
      </c>
      <c r="I40" s="9" t="s">
        <v>203</v>
      </c>
      <c r="J40" s="9" t="s">
        <v>203</v>
      </c>
      <c r="K40" s="7" t="s">
        <v>203</v>
      </c>
      <c r="L40" s="25"/>
      <c r="M40" s="25"/>
      <c r="N40" s="25"/>
      <c r="O40" s="25"/>
      <c r="P40" s="25"/>
      <c r="Q40" s="25"/>
      <c r="R40" s="25"/>
      <c r="S40" s="25"/>
      <c r="T40" s="25"/>
      <c r="U40" s="25"/>
      <c r="V40" s="25"/>
      <c r="W40" s="25"/>
      <c r="X40" s="25"/>
      <c r="Y40" s="25"/>
    </row>
    <row r="41" spans="1:25" ht="28.5" x14ac:dyDescent="0.45">
      <c r="A41" s="25"/>
      <c r="B41" s="7">
        <f t="shared" si="0"/>
        <v>38</v>
      </c>
      <c r="C41" s="7" t="s">
        <v>338</v>
      </c>
      <c r="D41" s="7" t="s">
        <v>212</v>
      </c>
      <c r="E41" s="7"/>
      <c r="F41" s="7"/>
      <c r="G41" s="9" t="s">
        <v>203</v>
      </c>
      <c r="H41" s="9" t="s">
        <v>302</v>
      </c>
      <c r="I41" s="9" t="s">
        <v>203</v>
      </c>
      <c r="J41" s="9" t="s">
        <v>203</v>
      </c>
      <c r="K41" s="7" t="s">
        <v>203</v>
      </c>
      <c r="L41" s="25"/>
      <c r="M41" s="25"/>
      <c r="N41" s="25"/>
      <c r="O41" s="25"/>
      <c r="P41" s="25"/>
      <c r="Q41" s="25"/>
      <c r="R41" s="25"/>
      <c r="S41" s="25"/>
      <c r="T41" s="25"/>
      <c r="U41" s="25"/>
      <c r="V41" s="25"/>
      <c r="W41" s="25"/>
      <c r="X41" s="25"/>
      <c r="Y41" s="25"/>
    </row>
    <row r="42" spans="1:25" ht="28.5" x14ac:dyDescent="0.45">
      <c r="A42" s="25"/>
      <c r="B42" s="7">
        <f t="shared" si="0"/>
        <v>39</v>
      </c>
      <c r="C42" s="7" t="s">
        <v>339</v>
      </c>
      <c r="D42" s="7" t="s">
        <v>212</v>
      </c>
      <c r="E42" s="7"/>
      <c r="F42" s="7"/>
      <c r="G42" s="9" t="s">
        <v>203</v>
      </c>
      <c r="H42" s="9" t="s">
        <v>302</v>
      </c>
      <c r="I42" s="9" t="s">
        <v>205</v>
      </c>
      <c r="J42" s="9" t="s">
        <v>205</v>
      </c>
      <c r="K42" s="7" t="s">
        <v>203</v>
      </c>
      <c r="L42" s="25"/>
      <c r="M42" s="25"/>
      <c r="N42" s="25"/>
      <c r="O42" s="25"/>
      <c r="P42" s="25"/>
      <c r="Q42" s="25"/>
      <c r="R42" s="25"/>
      <c r="S42" s="25"/>
      <c r="T42" s="25"/>
      <c r="U42" s="25"/>
      <c r="V42" s="25"/>
      <c r="W42" s="25"/>
      <c r="X42" s="25"/>
      <c r="Y42" s="25"/>
    </row>
    <row r="43" spans="1:25" ht="28.5" x14ac:dyDescent="0.45">
      <c r="A43" s="25"/>
      <c r="B43" s="7">
        <f t="shared" si="0"/>
        <v>40</v>
      </c>
      <c r="C43" s="7" t="s">
        <v>340</v>
      </c>
      <c r="D43" s="7" t="s">
        <v>212</v>
      </c>
      <c r="E43" s="7"/>
      <c r="F43" s="7"/>
      <c r="G43" s="9" t="s">
        <v>203</v>
      </c>
      <c r="H43" s="9" t="s">
        <v>302</v>
      </c>
      <c r="I43" s="9" t="s">
        <v>205</v>
      </c>
      <c r="J43" s="9" t="s">
        <v>205</v>
      </c>
      <c r="K43" s="7" t="s">
        <v>203</v>
      </c>
      <c r="L43" s="25"/>
      <c r="M43" s="25"/>
      <c r="N43" s="25"/>
      <c r="O43" s="25"/>
      <c r="P43" s="25"/>
      <c r="Q43" s="25"/>
      <c r="R43" s="25"/>
      <c r="S43" s="25"/>
      <c r="T43" s="25"/>
      <c r="U43" s="25"/>
      <c r="V43" s="25"/>
      <c r="W43" s="25"/>
      <c r="X43" s="25"/>
      <c r="Y43" s="25"/>
    </row>
    <row r="44" spans="1:25" ht="28.5" x14ac:dyDescent="0.45">
      <c r="A44" s="25"/>
      <c r="B44" s="7">
        <f t="shared" si="0"/>
        <v>41</v>
      </c>
      <c r="C44" s="7" t="s">
        <v>341</v>
      </c>
      <c r="D44" s="7" t="s">
        <v>212</v>
      </c>
      <c r="E44" s="7"/>
      <c r="F44" s="7"/>
      <c r="G44" s="9" t="s">
        <v>203</v>
      </c>
      <c r="H44" s="9" t="s">
        <v>302</v>
      </c>
      <c r="I44" s="9" t="s">
        <v>203</v>
      </c>
      <c r="J44" s="9" t="s">
        <v>203</v>
      </c>
      <c r="K44" s="7" t="s">
        <v>203</v>
      </c>
      <c r="L44" s="25"/>
      <c r="M44" s="25"/>
      <c r="N44" s="25"/>
      <c r="O44" s="25"/>
      <c r="P44" s="25"/>
      <c r="Q44" s="25"/>
      <c r="R44" s="25"/>
      <c r="S44" s="25"/>
      <c r="T44" s="25"/>
      <c r="U44" s="25"/>
      <c r="V44" s="25"/>
      <c r="W44" s="25"/>
      <c r="X44" s="25"/>
      <c r="Y44" s="25"/>
    </row>
    <row r="45" spans="1:25" ht="28.5" x14ac:dyDescent="0.45">
      <c r="A45" s="25"/>
      <c r="B45" s="7">
        <f t="shared" si="0"/>
        <v>42</v>
      </c>
      <c r="C45" s="7" t="s">
        <v>342</v>
      </c>
      <c r="D45" s="7" t="s">
        <v>212</v>
      </c>
      <c r="E45" s="7"/>
      <c r="F45" s="7"/>
      <c r="G45" s="9" t="s">
        <v>203</v>
      </c>
      <c r="H45" s="9" t="s">
        <v>302</v>
      </c>
      <c r="I45" s="9" t="s">
        <v>203</v>
      </c>
      <c r="J45" s="9" t="s">
        <v>203</v>
      </c>
      <c r="K45" s="7" t="s">
        <v>203</v>
      </c>
      <c r="L45" s="25"/>
      <c r="M45" s="25"/>
      <c r="N45" s="25"/>
      <c r="O45" s="25"/>
      <c r="P45" s="25"/>
      <c r="Q45" s="25"/>
      <c r="R45" s="25"/>
      <c r="S45" s="25"/>
      <c r="T45" s="25"/>
      <c r="U45" s="25"/>
      <c r="V45" s="25"/>
      <c r="W45" s="25"/>
      <c r="X45" s="25"/>
      <c r="Y45" s="25"/>
    </row>
    <row r="46" spans="1:25" ht="28.5" x14ac:dyDescent="0.45">
      <c r="A46" s="25"/>
      <c r="B46" s="7">
        <f t="shared" si="0"/>
        <v>43</v>
      </c>
      <c r="C46" s="7" t="s">
        <v>343</v>
      </c>
      <c r="D46" s="7" t="s">
        <v>212</v>
      </c>
      <c r="E46" s="7"/>
      <c r="F46" s="7"/>
      <c r="G46" s="9" t="s">
        <v>203</v>
      </c>
      <c r="H46" s="9" t="s">
        <v>302</v>
      </c>
      <c r="I46" s="9" t="s">
        <v>203</v>
      </c>
      <c r="J46" s="9" t="s">
        <v>203</v>
      </c>
      <c r="K46" s="7" t="s">
        <v>203</v>
      </c>
      <c r="L46" s="25"/>
      <c r="M46" s="25"/>
      <c r="N46" s="25"/>
      <c r="O46" s="25"/>
      <c r="P46" s="25"/>
      <c r="Q46" s="25"/>
      <c r="R46" s="25"/>
      <c r="S46" s="25"/>
      <c r="T46" s="25"/>
      <c r="U46" s="25"/>
      <c r="V46" s="25"/>
      <c r="W46" s="25"/>
      <c r="X46" s="25"/>
      <c r="Y46" s="25"/>
    </row>
    <row r="47" spans="1:25" ht="28.5" x14ac:dyDescent="0.45">
      <c r="A47" s="25"/>
      <c r="B47" s="7">
        <f t="shared" si="0"/>
        <v>44</v>
      </c>
      <c r="C47" s="7" t="s">
        <v>344</v>
      </c>
      <c r="D47" s="7" t="s">
        <v>212</v>
      </c>
      <c r="E47" s="7"/>
      <c r="F47" s="7"/>
      <c r="G47" s="9" t="s">
        <v>203</v>
      </c>
      <c r="H47" s="9" t="s">
        <v>302</v>
      </c>
      <c r="I47" s="9" t="s">
        <v>203</v>
      </c>
      <c r="J47" s="9" t="s">
        <v>203</v>
      </c>
      <c r="K47" s="7" t="s">
        <v>203</v>
      </c>
      <c r="L47" s="25"/>
      <c r="M47" s="25"/>
      <c r="N47" s="25"/>
      <c r="O47" s="25"/>
      <c r="P47" s="25"/>
      <c r="Q47" s="25"/>
      <c r="R47" s="25"/>
      <c r="S47" s="25"/>
      <c r="T47" s="25"/>
      <c r="U47" s="25"/>
      <c r="V47" s="25"/>
      <c r="W47" s="25"/>
      <c r="X47" s="25"/>
      <c r="Y47" s="25"/>
    </row>
    <row r="48" spans="1:25" ht="28.5" x14ac:dyDescent="0.45">
      <c r="A48" s="25"/>
      <c r="B48" s="7">
        <f t="shared" si="0"/>
        <v>45</v>
      </c>
      <c r="C48" s="7" t="s">
        <v>345</v>
      </c>
      <c r="D48" s="7" t="s">
        <v>212</v>
      </c>
      <c r="E48" s="7"/>
      <c r="F48" s="7"/>
      <c r="G48" s="9" t="s">
        <v>203</v>
      </c>
      <c r="H48" s="9" t="s">
        <v>302</v>
      </c>
      <c r="I48" s="9" t="s">
        <v>203</v>
      </c>
      <c r="J48" s="9" t="s">
        <v>203</v>
      </c>
      <c r="K48" s="7" t="s">
        <v>203</v>
      </c>
      <c r="L48" s="25"/>
      <c r="M48" s="25"/>
      <c r="N48" s="25"/>
      <c r="O48" s="25"/>
      <c r="P48" s="25"/>
      <c r="Q48" s="25"/>
      <c r="R48" s="25"/>
      <c r="S48" s="25"/>
      <c r="T48" s="25"/>
      <c r="U48" s="25"/>
      <c r="V48" s="25"/>
      <c r="W48" s="25"/>
      <c r="X48" s="25"/>
      <c r="Y48" s="25"/>
    </row>
    <row r="49" spans="1:25" ht="28.5" x14ac:dyDescent="0.45">
      <c r="A49" s="25"/>
      <c r="B49" s="7">
        <f t="shared" si="0"/>
        <v>46</v>
      </c>
      <c r="C49" s="7" t="s">
        <v>94</v>
      </c>
      <c r="D49" s="7" t="s">
        <v>93</v>
      </c>
      <c r="E49" s="7"/>
      <c r="F49" s="7"/>
      <c r="G49" s="9" t="s">
        <v>205</v>
      </c>
      <c r="H49" s="9" t="s">
        <v>297</v>
      </c>
      <c r="I49" s="9" t="s">
        <v>203</v>
      </c>
      <c r="J49" s="9" t="s">
        <v>203</v>
      </c>
      <c r="K49" s="7" t="s">
        <v>203</v>
      </c>
      <c r="L49" s="25"/>
      <c r="M49" s="25"/>
      <c r="N49" s="25"/>
      <c r="O49" s="25"/>
      <c r="P49" s="25"/>
      <c r="Q49" s="25"/>
      <c r="R49" s="25"/>
      <c r="S49" s="25"/>
      <c r="T49" s="25"/>
      <c r="U49" s="25"/>
      <c r="V49" s="25"/>
      <c r="W49" s="25"/>
      <c r="X49" s="25"/>
      <c r="Y49" s="25"/>
    </row>
    <row r="50" spans="1:25" ht="28.5" x14ac:dyDescent="0.45">
      <c r="A50" s="25"/>
      <c r="B50" s="7">
        <f t="shared" si="0"/>
        <v>47</v>
      </c>
      <c r="C50" s="7" t="s">
        <v>346</v>
      </c>
      <c r="D50" s="7" t="s">
        <v>212</v>
      </c>
      <c r="E50" s="7"/>
      <c r="F50" s="7"/>
      <c r="G50" s="9" t="s">
        <v>203</v>
      </c>
      <c r="H50" s="9" t="s">
        <v>302</v>
      </c>
      <c r="I50" s="9" t="s">
        <v>205</v>
      </c>
      <c r="J50" s="9" t="s">
        <v>205</v>
      </c>
      <c r="K50" s="7" t="s">
        <v>203</v>
      </c>
      <c r="L50" s="25"/>
      <c r="M50" s="25"/>
      <c r="N50" s="25"/>
      <c r="O50" s="25"/>
      <c r="P50" s="25"/>
      <c r="Q50" s="25"/>
      <c r="R50" s="25"/>
      <c r="S50" s="25"/>
      <c r="T50" s="25"/>
      <c r="U50" s="25"/>
      <c r="V50" s="25"/>
      <c r="W50" s="25"/>
      <c r="X50" s="25"/>
      <c r="Y50" s="25"/>
    </row>
    <row r="51" spans="1:25" ht="29.65" customHeight="1" x14ac:dyDescent="0.45">
      <c r="A51" s="25"/>
      <c r="B51" s="7">
        <f t="shared" si="0"/>
        <v>48</v>
      </c>
      <c r="C51" s="7" t="s">
        <v>347</v>
      </c>
      <c r="D51" s="7" t="s">
        <v>212</v>
      </c>
      <c r="E51" s="7"/>
      <c r="F51" s="7"/>
      <c r="G51" s="9" t="s">
        <v>331</v>
      </c>
      <c r="H51" s="9" t="s">
        <v>332</v>
      </c>
      <c r="I51" s="9" t="s">
        <v>203</v>
      </c>
      <c r="J51" s="9" t="s">
        <v>203</v>
      </c>
      <c r="K51" s="7" t="s">
        <v>203</v>
      </c>
      <c r="L51" s="25"/>
      <c r="M51" s="25"/>
      <c r="N51" s="25"/>
      <c r="O51" s="25"/>
      <c r="P51" s="25"/>
      <c r="Q51" s="25"/>
      <c r="R51" s="25"/>
      <c r="S51" s="25"/>
      <c r="T51" s="25"/>
      <c r="U51" s="25"/>
      <c r="V51" s="25"/>
      <c r="W51" s="25"/>
      <c r="X51" s="25"/>
      <c r="Y51" s="25"/>
    </row>
    <row r="52" spans="1:25" ht="28.5" x14ac:dyDescent="0.45">
      <c r="A52" s="25"/>
      <c r="B52" s="7">
        <f t="shared" si="0"/>
        <v>49</v>
      </c>
      <c r="C52" s="7" t="s">
        <v>348</v>
      </c>
      <c r="D52" s="7" t="s">
        <v>212</v>
      </c>
      <c r="E52" s="7"/>
      <c r="F52" s="7"/>
      <c r="G52" s="9" t="s">
        <v>203</v>
      </c>
      <c r="H52" s="9" t="s">
        <v>302</v>
      </c>
      <c r="I52" s="9" t="s">
        <v>203</v>
      </c>
      <c r="J52" s="9" t="s">
        <v>203</v>
      </c>
      <c r="K52" s="7" t="s">
        <v>203</v>
      </c>
      <c r="L52" s="25"/>
      <c r="M52" s="25"/>
      <c r="N52" s="25"/>
      <c r="O52" s="25"/>
      <c r="P52" s="25"/>
      <c r="Q52" s="25"/>
      <c r="R52" s="25"/>
      <c r="S52" s="25"/>
      <c r="T52" s="25"/>
      <c r="U52" s="25"/>
      <c r="V52" s="25"/>
      <c r="W52" s="25"/>
      <c r="X52" s="25"/>
      <c r="Y52" s="25"/>
    </row>
    <row r="53" spans="1:25" ht="28.5" x14ac:dyDescent="0.45">
      <c r="A53" s="25"/>
      <c r="B53" s="7">
        <f t="shared" si="0"/>
        <v>50</v>
      </c>
      <c r="C53" s="7" t="s">
        <v>349</v>
      </c>
      <c r="D53" s="7" t="s">
        <v>212</v>
      </c>
      <c r="E53" s="7"/>
      <c r="F53" s="7"/>
      <c r="G53" s="9" t="s">
        <v>203</v>
      </c>
      <c r="H53" s="9" t="s">
        <v>302</v>
      </c>
      <c r="I53" s="9" t="s">
        <v>203</v>
      </c>
      <c r="J53" s="9" t="s">
        <v>203</v>
      </c>
      <c r="K53" s="7" t="s">
        <v>203</v>
      </c>
      <c r="L53" s="25"/>
      <c r="M53" s="25"/>
      <c r="N53" s="25"/>
      <c r="O53" s="25"/>
      <c r="P53" s="25"/>
      <c r="Q53" s="25"/>
      <c r="R53" s="25"/>
      <c r="S53" s="25"/>
      <c r="T53" s="25"/>
      <c r="U53" s="25"/>
      <c r="V53" s="25"/>
      <c r="W53" s="25"/>
      <c r="X53" s="25"/>
      <c r="Y53" s="25"/>
    </row>
    <row r="54" spans="1:25" ht="29.65" customHeight="1" x14ac:dyDescent="0.45">
      <c r="A54" s="25"/>
      <c r="B54" s="7">
        <f t="shared" si="0"/>
        <v>51</v>
      </c>
      <c r="C54" s="7" t="s">
        <v>350</v>
      </c>
      <c r="D54" s="7" t="s">
        <v>212</v>
      </c>
      <c r="E54" s="7"/>
      <c r="F54" s="7"/>
      <c r="G54" s="9" t="s">
        <v>203</v>
      </c>
      <c r="H54" s="9" t="s">
        <v>302</v>
      </c>
      <c r="I54" s="9" t="s">
        <v>203</v>
      </c>
      <c r="J54" s="9" t="s">
        <v>203</v>
      </c>
      <c r="K54" s="7"/>
      <c r="L54" s="25"/>
      <c r="M54" s="25"/>
      <c r="N54" s="25"/>
      <c r="O54" s="25"/>
      <c r="P54" s="25"/>
      <c r="Q54" s="25"/>
      <c r="R54" s="25"/>
      <c r="S54" s="25"/>
      <c r="T54" s="25"/>
      <c r="U54" s="25"/>
      <c r="V54" s="25"/>
      <c r="W54" s="25"/>
      <c r="X54" s="25"/>
      <c r="Y54" s="25"/>
    </row>
    <row r="55" spans="1:25" ht="28.5" x14ac:dyDescent="0.45">
      <c r="A55" s="25"/>
      <c r="B55" s="7">
        <f>B54+1</f>
        <v>52</v>
      </c>
      <c r="C55" s="7" t="s">
        <v>351</v>
      </c>
      <c r="D55" s="7" t="s">
        <v>213</v>
      </c>
      <c r="E55" s="7"/>
      <c r="F55" s="7"/>
      <c r="G55" s="9" t="s">
        <v>203</v>
      </c>
      <c r="H55" s="9" t="s">
        <v>302</v>
      </c>
      <c r="I55" s="9" t="s">
        <v>203</v>
      </c>
      <c r="J55" s="9" t="s">
        <v>203</v>
      </c>
      <c r="K55" s="7" t="s">
        <v>203</v>
      </c>
      <c r="L55" s="25"/>
      <c r="M55" s="25"/>
      <c r="N55" s="25"/>
      <c r="O55" s="25"/>
      <c r="P55" s="25"/>
      <c r="Q55" s="25"/>
      <c r="R55" s="25"/>
      <c r="S55" s="25"/>
      <c r="T55" s="25"/>
      <c r="U55" s="25"/>
      <c r="V55" s="25"/>
      <c r="W55" s="25"/>
      <c r="X55" s="25"/>
      <c r="Y55" s="25"/>
    </row>
    <row r="56" spans="1:25" ht="28.5" x14ac:dyDescent="0.45">
      <c r="A56" s="25"/>
      <c r="B56" s="7">
        <f t="shared" si="0"/>
        <v>53</v>
      </c>
      <c r="C56" s="7" t="s">
        <v>352</v>
      </c>
      <c r="D56" s="7" t="s">
        <v>213</v>
      </c>
      <c r="E56" s="7"/>
      <c r="F56" s="7"/>
      <c r="G56" s="9" t="s">
        <v>205</v>
      </c>
      <c r="H56" s="9" t="s">
        <v>297</v>
      </c>
      <c r="I56" s="9" t="s">
        <v>205</v>
      </c>
      <c r="J56" s="9" t="s">
        <v>205</v>
      </c>
      <c r="K56" s="7" t="s">
        <v>203</v>
      </c>
      <c r="L56" s="25"/>
      <c r="M56" s="25"/>
      <c r="N56" s="25"/>
      <c r="O56" s="25"/>
      <c r="P56" s="25"/>
      <c r="Q56" s="25"/>
      <c r="R56" s="25"/>
      <c r="S56" s="25"/>
      <c r="T56" s="25"/>
      <c r="U56" s="25"/>
      <c r="V56" s="25"/>
      <c r="W56" s="25"/>
      <c r="X56" s="25"/>
      <c r="Y56" s="25"/>
    </row>
    <row r="57" spans="1:25" ht="28.5" x14ac:dyDescent="0.45">
      <c r="A57" s="25"/>
      <c r="B57" s="7">
        <f t="shared" si="0"/>
        <v>54</v>
      </c>
      <c r="C57" s="7" t="s">
        <v>353</v>
      </c>
      <c r="D57" s="7" t="s">
        <v>213</v>
      </c>
      <c r="E57" s="7"/>
      <c r="F57" s="7"/>
      <c r="G57" s="9" t="s">
        <v>205</v>
      </c>
      <c r="H57" s="9" t="s">
        <v>297</v>
      </c>
      <c r="I57" s="9" t="s">
        <v>203</v>
      </c>
      <c r="J57" s="9" t="s">
        <v>203</v>
      </c>
      <c r="K57" s="7" t="s">
        <v>203</v>
      </c>
      <c r="L57" s="25"/>
      <c r="M57" s="25"/>
      <c r="N57" s="25"/>
      <c r="O57" s="25"/>
      <c r="P57" s="25"/>
      <c r="Q57" s="25"/>
      <c r="R57" s="25"/>
      <c r="S57" s="25"/>
      <c r="T57" s="25"/>
      <c r="U57" s="25"/>
      <c r="V57" s="25"/>
      <c r="W57" s="25"/>
      <c r="X57" s="25"/>
      <c r="Y57" s="25"/>
    </row>
    <row r="58" spans="1:25" ht="28.5" x14ac:dyDescent="0.45">
      <c r="A58" s="25"/>
      <c r="B58" s="7">
        <f t="shared" si="0"/>
        <v>55</v>
      </c>
      <c r="C58" s="7" t="s">
        <v>354</v>
      </c>
      <c r="D58" s="7" t="s">
        <v>213</v>
      </c>
      <c r="E58" s="7"/>
      <c r="F58" s="7"/>
      <c r="G58" s="9" t="s">
        <v>205</v>
      </c>
      <c r="H58" s="9" t="s">
        <v>297</v>
      </c>
      <c r="I58" s="9" t="s">
        <v>203</v>
      </c>
      <c r="J58" s="9" t="s">
        <v>203</v>
      </c>
      <c r="K58" s="7" t="s">
        <v>203</v>
      </c>
      <c r="L58" s="25"/>
      <c r="M58" s="25"/>
      <c r="N58" s="25"/>
      <c r="O58" s="25"/>
      <c r="P58" s="25"/>
      <c r="Q58" s="25"/>
      <c r="R58" s="25"/>
      <c r="S58" s="25"/>
      <c r="T58" s="25"/>
      <c r="U58" s="25"/>
      <c r="V58" s="25"/>
      <c r="W58" s="25"/>
      <c r="X58" s="25"/>
      <c r="Y58" s="25"/>
    </row>
    <row r="59" spans="1:25" ht="28.5" x14ac:dyDescent="0.45">
      <c r="A59" s="25"/>
      <c r="B59" s="7">
        <f t="shared" si="0"/>
        <v>56</v>
      </c>
      <c r="C59" s="7" t="s">
        <v>355</v>
      </c>
      <c r="D59" s="7" t="s">
        <v>209</v>
      </c>
      <c r="E59" s="7"/>
      <c r="F59" s="7"/>
      <c r="G59" s="9" t="s">
        <v>205</v>
      </c>
      <c r="H59" s="9" t="s">
        <v>297</v>
      </c>
      <c r="I59" s="9" t="s">
        <v>205</v>
      </c>
      <c r="J59" s="9" t="s">
        <v>205</v>
      </c>
      <c r="K59" s="7" t="s">
        <v>203</v>
      </c>
      <c r="L59" s="25"/>
      <c r="M59" s="25"/>
      <c r="N59" s="25"/>
      <c r="O59" s="25"/>
      <c r="P59" s="25"/>
      <c r="Q59" s="25"/>
      <c r="R59" s="25"/>
      <c r="S59" s="25"/>
      <c r="T59" s="25"/>
      <c r="U59" s="25"/>
      <c r="V59" s="25"/>
      <c r="W59" s="25"/>
      <c r="X59" s="25"/>
      <c r="Y59" s="25"/>
    </row>
    <row r="60" spans="1:25" ht="28.5" x14ac:dyDescent="0.45">
      <c r="A60" s="25"/>
      <c r="B60" s="7">
        <f t="shared" si="0"/>
        <v>57</v>
      </c>
      <c r="C60" s="7" t="s">
        <v>356</v>
      </c>
      <c r="D60" s="7" t="s">
        <v>214</v>
      </c>
      <c r="E60" s="7"/>
      <c r="F60" s="7"/>
      <c r="G60" s="9" t="s">
        <v>203</v>
      </c>
      <c r="H60" s="9" t="s">
        <v>302</v>
      </c>
      <c r="I60" s="9" t="s">
        <v>323</v>
      </c>
      <c r="J60" s="9" t="s">
        <v>205</v>
      </c>
      <c r="K60" s="7" t="s">
        <v>203</v>
      </c>
      <c r="L60" s="25"/>
      <c r="M60" s="25"/>
      <c r="N60" s="25"/>
      <c r="O60" s="25"/>
      <c r="P60" s="25"/>
      <c r="Q60" s="25"/>
      <c r="R60" s="25"/>
      <c r="S60" s="25"/>
      <c r="T60" s="25"/>
      <c r="U60" s="25"/>
      <c r="V60" s="25"/>
      <c r="W60" s="25"/>
      <c r="X60" s="25"/>
      <c r="Y60" s="25"/>
    </row>
    <row r="61" spans="1:25" ht="28.5" x14ac:dyDescent="0.45">
      <c r="A61" s="25"/>
      <c r="B61" s="7">
        <f t="shared" si="0"/>
        <v>58</v>
      </c>
      <c r="C61" s="7" t="s">
        <v>357</v>
      </c>
      <c r="D61" s="7" t="s">
        <v>209</v>
      </c>
      <c r="E61" s="7"/>
      <c r="F61" s="7"/>
      <c r="G61" s="9" t="s">
        <v>203</v>
      </c>
      <c r="H61" s="9" t="s">
        <v>302</v>
      </c>
      <c r="I61" s="9" t="s">
        <v>205</v>
      </c>
      <c r="J61" s="9" t="s">
        <v>205</v>
      </c>
      <c r="K61" s="7" t="s">
        <v>203</v>
      </c>
      <c r="L61" s="25"/>
      <c r="M61" s="25"/>
      <c r="N61" s="25"/>
      <c r="O61" s="25"/>
      <c r="P61" s="25"/>
      <c r="Q61" s="25"/>
      <c r="R61" s="25"/>
      <c r="S61" s="25"/>
      <c r="T61" s="25"/>
      <c r="U61" s="25"/>
      <c r="V61" s="25"/>
      <c r="W61" s="25"/>
      <c r="X61" s="25"/>
      <c r="Y61" s="25"/>
    </row>
    <row r="62" spans="1:25" ht="28.5" x14ac:dyDescent="0.45">
      <c r="A62" s="25"/>
      <c r="B62" s="7">
        <f t="shared" si="0"/>
        <v>59</v>
      </c>
      <c r="C62" s="7" t="s">
        <v>358</v>
      </c>
      <c r="D62" s="7" t="s">
        <v>209</v>
      </c>
      <c r="E62" s="7"/>
      <c r="F62" s="7"/>
      <c r="G62" s="9" t="s">
        <v>203</v>
      </c>
      <c r="H62" s="9" t="s">
        <v>302</v>
      </c>
      <c r="I62" s="9" t="s">
        <v>323</v>
      </c>
      <c r="J62" s="9" t="s">
        <v>205</v>
      </c>
      <c r="K62" s="7" t="s">
        <v>203</v>
      </c>
      <c r="L62" s="25"/>
      <c r="M62" s="25"/>
      <c r="N62" s="25"/>
      <c r="O62" s="25"/>
      <c r="P62" s="25"/>
      <c r="Q62" s="25"/>
      <c r="R62" s="25"/>
      <c r="S62" s="25"/>
      <c r="T62" s="25"/>
      <c r="U62" s="25"/>
      <c r="V62" s="25"/>
      <c r="W62" s="25"/>
      <c r="X62" s="25"/>
      <c r="Y62" s="25"/>
    </row>
    <row r="63" spans="1:25" ht="28.5" x14ac:dyDescent="0.45">
      <c r="A63" s="25"/>
      <c r="B63" s="7">
        <f t="shared" si="0"/>
        <v>60</v>
      </c>
      <c r="C63" s="7" t="s">
        <v>359</v>
      </c>
      <c r="D63" s="7" t="s">
        <v>209</v>
      </c>
      <c r="E63" s="7"/>
      <c r="F63" s="7"/>
      <c r="G63" s="9" t="s">
        <v>203</v>
      </c>
      <c r="H63" s="9" t="s">
        <v>302</v>
      </c>
      <c r="I63" s="9" t="s">
        <v>205</v>
      </c>
      <c r="J63" s="9" t="s">
        <v>205</v>
      </c>
      <c r="K63" s="7" t="s">
        <v>203</v>
      </c>
      <c r="L63" s="25"/>
      <c r="M63" s="25"/>
      <c r="N63" s="25"/>
      <c r="O63" s="25"/>
      <c r="P63" s="25"/>
      <c r="Q63" s="25"/>
      <c r="R63" s="25"/>
      <c r="S63" s="25"/>
      <c r="T63" s="25"/>
      <c r="U63" s="25"/>
      <c r="V63" s="25"/>
      <c r="W63" s="25"/>
      <c r="X63" s="25"/>
      <c r="Y63" s="25"/>
    </row>
    <row r="64" spans="1:25" ht="28.5" x14ac:dyDescent="0.45">
      <c r="A64" s="25"/>
      <c r="B64" s="7">
        <f t="shared" si="0"/>
        <v>61</v>
      </c>
      <c r="C64" s="7" t="s">
        <v>360</v>
      </c>
      <c r="D64" s="7" t="s">
        <v>209</v>
      </c>
      <c r="E64" s="7"/>
      <c r="F64" s="7"/>
      <c r="G64" s="9" t="s">
        <v>203</v>
      </c>
      <c r="H64" s="9" t="s">
        <v>302</v>
      </c>
      <c r="I64" s="9" t="s">
        <v>323</v>
      </c>
      <c r="J64" s="9" t="s">
        <v>205</v>
      </c>
      <c r="K64" s="7" t="s">
        <v>203</v>
      </c>
      <c r="L64" s="25"/>
      <c r="M64" s="25"/>
      <c r="N64" s="25"/>
      <c r="O64" s="25"/>
      <c r="P64" s="25"/>
      <c r="Q64" s="25"/>
      <c r="R64" s="25"/>
      <c r="S64" s="25"/>
      <c r="T64" s="25"/>
      <c r="U64" s="25"/>
      <c r="V64" s="25"/>
      <c r="W64" s="25"/>
      <c r="X64" s="25"/>
      <c r="Y64" s="25"/>
    </row>
    <row r="65" spans="1:25" ht="28.5" x14ac:dyDescent="0.45">
      <c r="A65" s="25"/>
      <c r="B65" s="7">
        <f t="shared" si="0"/>
        <v>62</v>
      </c>
      <c r="C65" s="7" t="s">
        <v>361</v>
      </c>
      <c r="D65" s="7" t="s">
        <v>209</v>
      </c>
      <c r="E65" s="7"/>
      <c r="F65" s="7"/>
      <c r="G65" s="9" t="s">
        <v>203</v>
      </c>
      <c r="H65" s="9" t="s">
        <v>302</v>
      </c>
      <c r="I65" s="9" t="s">
        <v>323</v>
      </c>
      <c r="J65" s="9" t="s">
        <v>205</v>
      </c>
      <c r="K65" s="7" t="s">
        <v>203</v>
      </c>
      <c r="L65" s="25"/>
      <c r="M65" s="25"/>
      <c r="N65" s="25"/>
      <c r="O65" s="25"/>
      <c r="P65" s="25"/>
      <c r="Q65" s="25"/>
      <c r="R65" s="25"/>
      <c r="S65" s="25"/>
      <c r="T65" s="25"/>
      <c r="U65" s="25"/>
      <c r="V65" s="25"/>
      <c r="W65" s="25"/>
      <c r="X65" s="25"/>
      <c r="Y65" s="25"/>
    </row>
    <row r="66" spans="1:25" ht="28.5" x14ac:dyDescent="0.45">
      <c r="A66" s="25"/>
      <c r="B66" s="7">
        <f t="shared" si="0"/>
        <v>63</v>
      </c>
      <c r="C66" s="7" t="s">
        <v>362</v>
      </c>
      <c r="D66" s="7" t="s">
        <v>209</v>
      </c>
      <c r="E66" s="7"/>
      <c r="F66" s="7"/>
      <c r="G66" s="9" t="s">
        <v>203</v>
      </c>
      <c r="H66" s="9" t="s">
        <v>302</v>
      </c>
      <c r="I66" s="9" t="s">
        <v>323</v>
      </c>
      <c r="J66" s="9" t="s">
        <v>323</v>
      </c>
      <c r="K66" s="7" t="s">
        <v>203</v>
      </c>
      <c r="L66" s="25"/>
      <c r="M66" s="25"/>
      <c r="N66" s="25"/>
      <c r="O66" s="25"/>
      <c r="P66" s="25"/>
      <c r="Q66" s="25"/>
      <c r="R66" s="25"/>
      <c r="S66" s="25"/>
      <c r="T66" s="25"/>
      <c r="U66" s="25"/>
      <c r="V66" s="25"/>
      <c r="W66" s="25"/>
      <c r="X66" s="25"/>
      <c r="Y66" s="25"/>
    </row>
    <row r="67" spans="1:25" ht="28.5" x14ac:dyDescent="0.45">
      <c r="A67" s="25"/>
      <c r="B67" s="7">
        <f t="shared" si="0"/>
        <v>64</v>
      </c>
      <c r="C67" s="7" t="s">
        <v>363</v>
      </c>
      <c r="D67" s="7" t="s">
        <v>209</v>
      </c>
      <c r="E67" s="7"/>
      <c r="F67" s="7"/>
      <c r="G67" s="9" t="s">
        <v>203</v>
      </c>
      <c r="H67" s="9" t="s">
        <v>302</v>
      </c>
      <c r="I67" s="9" t="s">
        <v>323</v>
      </c>
      <c r="J67" s="9" t="s">
        <v>205</v>
      </c>
      <c r="K67" s="7" t="s">
        <v>203</v>
      </c>
      <c r="L67" s="25"/>
      <c r="M67" s="25"/>
      <c r="N67" s="25"/>
      <c r="O67" s="25"/>
      <c r="P67" s="25"/>
      <c r="Q67" s="25"/>
      <c r="R67" s="25"/>
      <c r="S67" s="25"/>
      <c r="T67" s="25"/>
      <c r="U67" s="25"/>
      <c r="V67" s="25"/>
      <c r="W67" s="25"/>
      <c r="X67" s="25"/>
      <c r="Y67" s="25"/>
    </row>
    <row r="68" spans="1:25" ht="28.5" x14ac:dyDescent="0.45">
      <c r="A68" s="25"/>
      <c r="B68" s="7">
        <f t="shared" si="0"/>
        <v>65</v>
      </c>
      <c r="C68" s="7" t="s">
        <v>364</v>
      </c>
      <c r="D68" s="7" t="s">
        <v>209</v>
      </c>
      <c r="E68" s="7"/>
      <c r="F68" s="7"/>
      <c r="G68" s="9" t="s">
        <v>205</v>
      </c>
      <c r="H68" s="9" t="s">
        <v>297</v>
      </c>
      <c r="I68" s="9" t="s">
        <v>205</v>
      </c>
      <c r="J68" s="9" t="s">
        <v>205</v>
      </c>
      <c r="K68" s="7" t="s">
        <v>203</v>
      </c>
      <c r="L68" s="25"/>
      <c r="M68" s="25"/>
      <c r="N68" s="25"/>
      <c r="O68" s="25"/>
      <c r="P68" s="25"/>
      <c r="Q68" s="25"/>
      <c r="R68" s="25"/>
      <c r="S68" s="25"/>
      <c r="T68" s="25"/>
      <c r="U68" s="25"/>
      <c r="V68" s="25"/>
      <c r="W68" s="25"/>
      <c r="X68" s="25"/>
      <c r="Y68" s="25"/>
    </row>
    <row r="69" spans="1:25" ht="28.5" x14ac:dyDescent="0.45">
      <c r="A69" s="25"/>
      <c r="B69" s="7">
        <f t="shared" si="0"/>
        <v>66</v>
      </c>
      <c r="C69" s="7" t="s">
        <v>365</v>
      </c>
      <c r="D69" s="9" t="s">
        <v>208</v>
      </c>
      <c r="E69" s="7"/>
      <c r="F69" s="7"/>
      <c r="G69" s="9" t="s">
        <v>203</v>
      </c>
      <c r="H69" s="9" t="s">
        <v>302</v>
      </c>
      <c r="I69" s="9" t="s">
        <v>205</v>
      </c>
      <c r="J69" s="9" t="s">
        <v>205</v>
      </c>
      <c r="K69" s="7" t="s">
        <v>203</v>
      </c>
      <c r="L69" s="25"/>
      <c r="M69" s="25"/>
      <c r="N69" s="25"/>
      <c r="O69" s="25"/>
      <c r="P69" s="25"/>
      <c r="Q69" s="25"/>
      <c r="R69" s="25"/>
      <c r="S69" s="25"/>
      <c r="T69" s="25"/>
      <c r="U69" s="25"/>
      <c r="V69" s="25"/>
      <c r="W69" s="25"/>
      <c r="X69" s="25"/>
      <c r="Y69" s="25"/>
    </row>
    <row r="70" spans="1:25" ht="28.5" x14ac:dyDescent="0.45">
      <c r="A70" s="25"/>
      <c r="B70" s="7">
        <f t="shared" si="0"/>
        <v>67</v>
      </c>
      <c r="C70" s="7" t="s">
        <v>366</v>
      </c>
      <c r="D70" s="9" t="s">
        <v>208</v>
      </c>
      <c r="E70" s="7"/>
      <c r="F70" s="7"/>
      <c r="G70" s="9" t="s">
        <v>203</v>
      </c>
      <c r="H70" s="9" t="s">
        <v>302</v>
      </c>
      <c r="I70" s="9" t="s">
        <v>205</v>
      </c>
      <c r="J70" s="9" t="s">
        <v>205</v>
      </c>
      <c r="K70" s="7" t="s">
        <v>203</v>
      </c>
      <c r="L70" s="25"/>
      <c r="M70" s="25"/>
      <c r="N70" s="25"/>
      <c r="O70" s="25"/>
      <c r="P70" s="25"/>
      <c r="Q70" s="25"/>
      <c r="R70" s="25"/>
      <c r="S70" s="25"/>
      <c r="T70" s="25"/>
      <c r="U70" s="25"/>
      <c r="V70" s="25"/>
      <c r="W70" s="25"/>
      <c r="X70" s="25"/>
      <c r="Y70" s="25"/>
    </row>
    <row r="71" spans="1:25" ht="28.9" thickBot="1" x14ac:dyDescent="0.5">
      <c r="A71" s="25"/>
      <c r="B71" s="229">
        <f t="shared" si="0"/>
        <v>68</v>
      </c>
      <c r="C71" s="229" t="s">
        <v>367</v>
      </c>
      <c r="D71" s="242" t="s">
        <v>208</v>
      </c>
      <c r="E71" s="229"/>
      <c r="F71" s="229"/>
      <c r="G71" s="242" t="s">
        <v>205</v>
      </c>
      <c r="H71" s="242" t="s">
        <v>297</v>
      </c>
      <c r="I71" s="242" t="s">
        <v>205</v>
      </c>
      <c r="J71" s="242" t="s">
        <v>205</v>
      </c>
      <c r="K71" s="7" t="s">
        <v>203</v>
      </c>
      <c r="L71" s="25"/>
      <c r="M71" s="25"/>
      <c r="N71" s="25"/>
      <c r="O71" s="25"/>
      <c r="P71" s="25"/>
      <c r="Q71" s="25"/>
      <c r="R71" s="25"/>
      <c r="S71" s="25"/>
      <c r="T71" s="25"/>
      <c r="U71" s="25"/>
      <c r="V71" s="25"/>
      <c r="W71" s="25"/>
      <c r="X71" s="25"/>
      <c r="Y71" s="25"/>
    </row>
    <row r="72" spans="1:25" ht="28.5" x14ac:dyDescent="0.45">
      <c r="A72" s="25"/>
      <c r="B72" s="221">
        <f t="shared" si="0"/>
        <v>69</v>
      </c>
      <c r="C72" s="221" t="s">
        <v>233</v>
      </c>
      <c r="D72" s="221" t="s">
        <v>226</v>
      </c>
      <c r="E72" s="221"/>
      <c r="F72" s="221"/>
      <c r="G72" s="386" t="s">
        <v>205</v>
      </c>
      <c r="H72" s="386" t="s">
        <v>302</v>
      </c>
      <c r="I72" s="386" t="s">
        <v>203</v>
      </c>
      <c r="J72" s="386" t="s">
        <v>203</v>
      </c>
      <c r="K72" s="7" t="s">
        <v>203</v>
      </c>
      <c r="L72" s="25"/>
      <c r="M72" s="25"/>
      <c r="N72" s="25"/>
      <c r="O72" s="25"/>
      <c r="P72" s="25"/>
      <c r="Q72" s="25"/>
      <c r="R72" s="25"/>
      <c r="S72" s="25"/>
      <c r="T72" s="25"/>
      <c r="U72" s="25"/>
      <c r="V72" s="25"/>
      <c r="W72" s="25"/>
      <c r="X72" s="25"/>
      <c r="Y72" s="25"/>
    </row>
    <row r="73" spans="1:25" ht="28.5" x14ac:dyDescent="0.45">
      <c r="A73" s="25"/>
      <c r="B73" s="7">
        <f t="shared" si="0"/>
        <v>70</v>
      </c>
      <c r="C73" s="7" t="s">
        <v>234</v>
      </c>
      <c r="D73" s="7" t="s">
        <v>226</v>
      </c>
      <c r="E73" s="7"/>
      <c r="F73" s="7"/>
      <c r="G73" s="9" t="s">
        <v>205</v>
      </c>
      <c r="H73" s="9" t="s">
        <v>302</v>
      </c>
      <c r="I73" s="9" t="s">
        <v>203</v>
      </c>
      <c r="J73" s="9" t="s">
        <v>203</v>
      </c>
      <c r="K73" s="7" t="s">
        <v>203</v>
      </c>
      <c r="L73" s="25"/>
      <c r="M73" s="25"/>
      <c r="N73" s="25"/>
      <c r="O73" s="25"/>
      <c r="P73" s="25"/>
      <c r="Q73" s="25"/>
      <c r="R73" s="25"/>
      <c r="S73" s="25"/>
      <c r="T73" s="25"/>
      <c r="U73" s="25"/>
      <c r="V73" s="25"/>
      <c r="W73" s="25"/>
      <c r="X73" s="25"/>
      <c r="Y73" s="25"/>
    </row>
    <row r="74" spans="1:25" ht="28.5" x14ac:dyDescent="0.45">
      <c r="A74" s="25"/>
      <c r="B74" s="7">
        <f t="shared" si="0"/>
        <v>71</v>
      </c>
      <c r="C74" s="7" t="s">
        <v>235</v>
      </c>
      <c r="D74" s="7" t="s">
        <v>226</v>
      </c>
      <c r="E74" s="7"/>
      <c r="F74" s="7"/>
      <c r="G74" s="9" t="s">
        <v>205</v>
      </c>
      <c r="H74" s="9" t="s">
        <v>302</v>
      </c>
      <c r="I74" s="9" t="s">
        <v>203</v>
      </c>
      <c r="J74" s="9" t="s">
        <v>203</v>
      </c>
      <c r="K74" s="7" t="s">
        <v>203</v>
      </c>
      <c r="L74" s="25"/>
      <c r="M74" s="25"/>
      <c r="N74" s="25"/>
      <c r="O74" s="25"/>
      <c r="P74" s="25"/>
      <c r="Q74" s="25"/>
      <c r="R74" s="25"/>
      <c r="S74" s="25"/>
      <c r="T74" s="25"/>
      <c r="U74" s="25"/>
      <c r="V74" s="25"/>
      <c r="W74" s="25"/>
      <c r="X74" s="25"/>
      <c r="Y74" s="25"/>
    </row>
    <row r="75" spans="1:25" ht="28.5" x14ac:dyDescent="0.45">
      <c r="A75" s="25"/>
      <c r="B75" s="7">
        <f t="shared" si="0"/>
        <v>72</v>
      </c>
      <c r="C75" s="7" t="s">
        <v>239</v>
      </c>
      <c r="D75" s="7" t="s">
        <v>226</v>
      </c>
      <c r="E75" s="7"/>
      <c r="F75" s="7"/>
      <c r="G75" s="9" t="s">
        <v>203</v>
      </c>
      <c r="H75" s="9" t="s">
        <v>302</v>
      </c>
      <c r="I75" s="9" t="s">
        <v>203</v>
      </c>
      <c r="J75" s="9" t="s">
        <v>203</v>
      </c>
      <c r="K75" s="7" t="s">
        <v>203</v>
      </c>
      <c r="L75" s="25"/>
      <c r="M75" s="25"/>
      <c r="N75" s="25"/>
      <c r="O75" s="25"/>
      <c r="P75" s="25"/>
      <c r="Q75" s="25"/>
      <c r="R75" s="25"/>
      <c r="S75" s="25"/>
      <c r="T75" s="25"/>
      <c r="U75" s="25"/>
      <c r="V75" s="25"/>
      <c r="W75" s="25"/>
      <c r="X75" s="25"/>
      <c r="Y75" s="25"/>
    </row>
    <row r="76" spans="1:25" ht="29.65" customHeight="1" x14ac:dyDescent="0.45">
      <c r="A76" s="25"/>
      <c r="B76" s="7">
        <f t="shared" si="0"/>
        <v>73</v>
      </c>
      <c r="C76" s="7" t="s">
        <v>243</v>
      </c>
      <c r="D76" s="7" t="s">
        <v>226</v>
      </c>
      <c r="E76" s="7"/>
      <c r="F76" s="7"/>
      <c r="G76" s="9" t="s">
        <v>331</v>
      </c>
      <c r="H76" s="9" t="s">
        <v>332</v>
      </c>
      <c r="I76" s="9" t="s">
        <v>203</v>
      </c>
      <c r="J76" s="9" t="s">
        <v>203</v>
      </c>
      <c r="K76" s="7" t="s">
        <v>203</v>
      </c>
      <c r="L76" s="25"/>
      <c r="M76" s="25"/>
      <c r="N76" s="25"/>
      <c r="O76" s="25"/>
      <c r="P76" s="25"/>
      <c r="Q76" s="25"/>
      <c r="R76" s="25"/>
      <c r="S76" s="25"/>
      <c r="T76" s="25"/>
      <c r="U76" s="25"/>
      <c r="V76" s="25"/>
      <c r="W76" s="25"/>
      <c r="X76" s="25"/>
      <c r="Y76" s="25"/>
    </row>
    <row r="77" spans="1:25" ht="28.5" x14ac:dyDescent="0.45">
      <c r="A77" s="25"/>
      <c r="B77" s="7">
        <f t="shared" ref="B77:B102" si="1">B76+1</f>
        <v>74</v>
      </c>
      <c r="C77" s="7" t="s">
        <v>240</v>
      </c>
      <c r="D77" s="7" t="s">
        <v>226</v>
      </c>
      <c r="E77" s="7"/>
      <c r="F77" s="7"/>
      <c r="G77" s="9" t="s">
        <v>203</v>
      </c>
      <c r="H77" s="9" t="s">
        <v>302</v>
      </c>
      <c r="I77" s="9" t="s">
        <v>203</v>
      </c>
      <c r="J77" s="9" t="s">
        <v>203</v>
      </c>
      <c r="K77" s="7" t="s">
        <v>203</v>
      </c>
      <c r="L77" s="25"/>
      <c r="M77" s="25"/>
      <c r="N77" s="25"/>
      <c r="O77" s="25"/>
      <c r="P77" s="25"/>
      <c r="Q77" s="25"/>
      <c r="R77" s="25"/>
      <c r="S77" s="25"/>
      <c r="T77" s="25"/>
      <c r="U77" s="25"/>
      <c r="V77" s="25"/>
      <c r="W77" s="25"/>
      <c r="X77" s="25"/>
      <c r="Y77" s="25"/>
    </row>
    <row r="78" spans="1:25" ht="28.5" x14ac:dyDescent="0.45">
      <c r="A78" s="25"/>
      <c r="B78" s="7">
        <f t="shared" si="1"/>
        <v>75</v>
      </c>
      <c r="C78" s="7" t="s">
        <v>236</v>
      </c>
      <c r="D78" s="7" t="s">
        <v>226</v>
      </c>
      <c r="E78" s="7"/>
      <c r="F78" s="7"/>
      <c r="G78" s="9" t="s">
        <v>205</v>
      </c>
      <c r="H78" s="9" t="s">
        <v>302</v>
      </c>
      <c r="I78" s="9" t="s">
        <v>203</v>
      </c>
      <c r="J78" s="9" t="s">
        <v>203</v>
      </c>
      <c r="K78" s="7" t="s">
        <v>203</v>
      </c>
      <c r="L78" s="25"/>
      <c r="M78" s="25"/>
      <c r="N78" s="25"/>
      <c r="O78" s="25"/>
      <c r="P78" s="25"/>
      <c r="Q78" s="25"/>
      <c r="R78" s="25"/>
      <c r="S78" s="25"/>
      <c r="T78" s="25"/>
      <c r="U78" s="25"/>
      <c r="V78" s="25"/>
      <c r="W78" s="25"/>
      <c r="X78" s="25"/>
      <c r="Y78" s="25"/>
    </row>
    <row r="79" spans="1:25" ht="28.5" x14ac:dyDescent="0.45">
      <c r="A79" s="25"/>
      <c r="B79" s="7">
        <f t="shared" si="1"/>
        <v>76</v>
      </c>
      <c r="C79" s="7" t="s">
        <v>241</v>
      </c>
      <c r="D79" s="7" t="s">
        <v>226</v>
      </c>
      <c r="E79" s="7"/>
      <c r="F79" s="7"/>
      <c r="G79" s="9" t="s">
        <v>203</v>
      </c>
      <c r="H79" s="9" t="s">
        <v>302</v>
      </c>
      <c r="I79" s="9" t="s">
        <v>203</v>
      </c>
      <c r="J79" s="9" t="s">
        <v>203</v>
      </c>
      <c r="K79" s="7" t="s">
        <v>203</v>
      </c>
      <c r="L79" s="25"/>
      <c r="M79" s="25"/>
      <c r="N79" s="25"/>
      <c r="O79" s="25"/>
      <c r="P79" s="25"/>
      <c r="Q79" s="25"/>
      <c r="R79" s="25"/>
      <c r="S79" s="25"/>
      <c r="T79" s="25"/>
      <c r="U79" s="25"/>
      <c r="V79" s="25"/>
      <c r="W79" s="25"/>
      <c r="X79" s="25"/>
      <c r="Y79" s="25"/>
    </row>
    <row r="80" spans="1:25" ht="28.9" thickBot="1" x14ac:dyDescent="0.5">
      <c r="A80" s="25"/>
      <c r="B80" s="229">
        <f t="shared" si="1"/>
        <v>77</v>
      </c>
      <c r="C80" s="229" t="s">
        <v>237</v>
      </c>
      <c r="D80" s="229" t="s">
        <v>226</v>
      </c>
      <c r="E80" s="229"/>
      <c r="F80" s="229"/>
      <c r="G80" s="242" t="s">
        <v>205</v>
      </c>
      <c r="H80" s="242" t="s">
        <v>302</v>
      </c>
      <c r="I80" s="242" t="s">
        <v>203</v>
      </c>
      <c r="J80" s="242" t="s">
        <v>203</v>
      </c>
      <c r="K80" s="7" t="s">
        <v>203</v>
      </c>
      <c r="L80" s="25"/>
      <c r="M80" s="25"/>
      <c r="N80" s="25"/>
      <c r="O80" s="25"/>
      <c r="P80" s="25"/>
      <c r="Q80" s="25"/>
      <c r="R80" s="25"/>
      <c r="S80" s="25"/>
      <c r="T80" s="25"/>
      <c r="U80" s="25"/>
      <c r="V80" s="25"/>
      <c r="W80" s="25"/>
      <c r="X80" s="25"/>
      <c r="Y80" s="25"/>
    </row>
    <row r="81" spans="1:25" x14ac:dyDescent="0.45">
      <c r="A81" s="25"/>
      <c r="B81" s="257">
        <f t="shared" si="1"/>
        <v>78</v>
      </c>
      <c r="C81" s="257" t="s">
        <v>260</v>
      </c>
      <c r="D81" s="257" t="s">
        <v>368</v>
      </c>
      <c r="E81" s="257"/>
      <c r="F81" s="257"/>
      <c r="G81" s="257" t="s">
        <v>205</v>
      </c>
      <c r="H81" s="548" t="s">
        <v>369</v>
      </c>
      <c r="I81" s="257" t="s">
        <v>205</v>
      </c>
      <c r="J81" s="239" t="s">
        <v>203</v>
      </c>
      <c r="K81" s="7" t="s">
        <v>203</v>
      </c>
      <c r="L81" s="25"/>
      <c r="M81" s="25"/>
      <c r="N81" s="25"/>
      <c r="O81" s="25"/>
      <c r="P81" s="25"/>
      <c r="Q81" s="25"/>
      <c r="R81" s="25"/>
      <c r="S81" s="25"/>
      <c r="T81" s="25"/>
      <c r="U81" s="25"/>
      <c r="V81" s="25"/>
      <c r="W81" s="25"/>
      <c r="X81" s="25"/>
      <c r="Y81" s="25"/>
    </row>
    <row r="82" spans="1:25" x14ac:dyDescent="0.45">
      <c r="A82" s="25"/>
      <c r="B82" s="7">
        <f t="shared" si="1"/>
        <v>79</v>
      </c>
      <c r="C82" s="7" t="s">
        <v>259</v>
      </c>
      <c r="D82" s="7" t="s">
        <v>368</v>
      </c>
      <c r="E82" s="7"/>
      <c r="F82" s="7"/>
      <c r="G82" s="7" t="s">
        <v>205</v>
      </c>
      <c r="H82" s="9" t="s">
        <v>369</v>
      </c>
      <c r="I82" s="7" t="s">
        <v>205</v>
      </c>
      <c r="J82" s="9" t="s">
        <v>203</v>
      </c>
      <c r="K82" s="7" t="s">
        <v>203</v>
      </c>
      <c r="L82" s="25"/>
      <c r="M82" s="25"/>
      <c r="N82" s="25"/>
      <c r="O82" s="25"/>
      <c r="P82" s="25"/>
      <c r="Q82" s="25"/>
      <c r="R82" s="25"/>
      <c r="S82" s="25"/>
      <c r="T82" s="25"/>
      <c r="U82" s="25"/>
      <c r="V82" s="25"/>
      <c r="W82" s="25"/>
      <c r="X82" s="25"/>
      <c r="Y82" s="25"/>
    </row>
    <row r="83" spans="1:25" ht="14.65" thickBot="1" x14ac:dyDescent="0.5">
      <c r="A83" s="25"/>
      <c r="B83" s="229">
        <f t="shared" si="1"/>
        <v>80</v>
      </c>
      <c r="C83" s="229" t="s">
        <v>261</v>
      </c>
      <c r="D83" s="229" t="s">
        <v>368</v>
      </c>
      <c r="E83" s="229"/>
      <c r="F83" s="229"/>
      <c r="G83" s="229" t="s">
        <v>203</v>
      </c>
      <c r="H83" s="549" t="s">
        <v>370</v>
      </c>
      <c r="I83" s="229" t="s">
        <v>205</v>
      </c>
      <c r="J83" s="242" t="s">
        <v>371</v>
      </c>
      <c r="K83" s="7" t="s">
        <v>203</v>
      </c>
      <c r="L83" s="25"/>
      <c r="M83" s="25"/>
      <c r="N83" s="25"/>
      <c r="O83" s="25"/>
      <c r="P83" s="25"/>
      <c r="Q83" s="25"/>
      <c r="R83" s="25"/>
      <c r="S83" s="25"/>
      <c r="T83" s="25"/>
      <c r="U83" s="25"/>
      <c r="V83" s="25"/>
      <c r="W83" s="25"/>
      <c r="X83" s="25"/>
      <c r="Y83" s="25"/>
    </row>
    <row r="84" spans="1:25" x14ac:dyDescent="0.45">
      <c r="A84" s="25"/>
      <c r="B84" s="221">
        <f t="shared" si="1"/>
        <v>81</v>
      </c>
      <c r="C84" s="221"/>
      <c r="D84" s="221"/>
      <c r="E84" s="547"/>
      <c r="F84" s="547"/>
      <c r="G84" s="221"/>
      <c r="H84" s="386"/>
      <c r="I84" s="547"/>
      <c r="J84" s="547"/>
      <c r="K84" s="7" t="s">
        <v>203</v>
      </c>
      <c r="L84" s="25"/>
      <c r="M84" s="25"/>
      <c r="N84" s="25"/>
      <c r="O84" s="25"/>
      <c r="P84" s="25"/>
      <c r="Q84" s="25"/>
      <c r="R84" s="25"/>
      <c r="S84" s="25"/>
      <c r="T84" s="25"/>
      <c r="U84" s="25"/>
      <c r="V84" s="25"/>
      <c r="W84" s="25"/>
      <c r="X84" s="25"/>
      <c r="Y84" s="25"/>
    </row>
    <row r="85" spans="1:25" x14ac:dyDescent="0.4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4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4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4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4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4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4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4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4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4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4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4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4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4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4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4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4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45">
      <c r="A102" s="25"/>
      <c r="B102" s="7">
        <f t="shared" si="1"/>
        <v>99</v>
      </c>
      <c r="K102" s="7"/>
      <c r="L102" s="25"/>
      <c r="M102" s="25"/>
      <c r="N102" s="25"/>
      <c r="O102" s="25"/>
      <c r="P102" s="25"/>
      <c r="Q102" s="25"/>
      <c r="R102" s="25"/>
      <c r="S102" s="25"/>
      <c r="T102" s="25"/>
      <c r="U102" s="25"/>
      <c r="V102" s="25"/>
      <c r="W102" s="25"/>
      <c r="X102" s="25"/>
      <c r="Y102" s="25"/>
    </row>
    <row r="103" spans="1:25" x14ac:dyDescent="0.4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4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4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4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4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4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4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4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1" activePane="bottomRight" state="frozen"/>
      <selection pane="topRight" activeCell="C1" sqref="C1"/>
      <selection pane="bottomLeft" activeCell="A6" sqref="A6"/>
      <selection pane="bottomRight"/>
    </sheetView>
  </sheetViews>
  <sheetFormatPr defaultColWidth="9.1328125" defaultRowHeight="14.25" zeroHeight="1" x14ac:dyDescent="0.45"/>
  <cols>
    <col min="1" max="1" width="8.86328125" customWidth="1"/>
    <col min="2" max="2" width="79.265625" customWidth="1"/>
    <col min="3" max="3" width="24.1328125" customWidth="1"/>
    <col min="4" max="4" width="31.1328125" customWidth="1"/>
    <col min="5" max="5" width="114.59765625" customWidth="1"/>
    <col min="6" max="6" width="35.73046875" customWidth="1"/>
    <col min="7" max="11" width="17.86328125" customWidth="1"/>
    <col min="12" max="13" width="41.265625" customWidth="1"/>
    <col min="14" max="14" width="96" customWidth="1"/>
    <col min="15" max="15" width="9.1328125" customWidth="1"/>
    <col min="16" max="19" width="9.1328125" hidden="1" customWidth="1"/>
    <col min="20" max="16380" width="14.3984375" hidden="1" customWidth="1"/>
    <col min="16381" max="16383" width="14.3984375" style="25" customWidth="1"/>
    <col min="16384" max="16384" width="9.1328125" style="25"/>
  </cols>
  <sheetData>
    <row r="1" spans="1:20" x14ac:dyDescent="0.45">
      <c r="A1" s="25"/>
      <c r="B1" s="1017" t="s">
        <v>372</v>
      </c>
      <c r="C1" s="1018"/>
      <c r="D1" s="1018"/>
      <c r="E1" s="1018"/>
      <c r="F1" s="1018"/>
      <c r="G1" s="1018"/>
      <c r="H1" s="1018"/>
      <c r="I1" s="1018"/>
      <c r="J1" s="1018"/>
      <c r="K1" s="1018"/>
      <c r="L1" s="1018"/>
      <c r="M1" s="1018"/>
      <c r="N1" s="1019"/>
      <c r="O1" s="25"/>
      <c r="P1" s="25"/>
      <c r="Q1" s="25"/>
      <c r="R1" s="25"/>
      <c r="S1" s="25"/>
      <c r="T1" s="25"/>
    </row>
    <row r="2" spans="1:20" ht="14.65" thickBot="1" x14ac:dyDescent="0.5">
      <c r="A2" s="25"/>
      <c r="B2" s="1020"/>
      <c r="C2" s="1021"/>
      <c r="D2" s="1021"/>
      <c r="E2" s="1021"/>
      <c r="F2" s="1021"/>
      <c r="G2" s="1021"/>
      <c r="H2" s="1021"/>
      <c r="I2" s="1021"/>
      <c r="J2" s="1021"/>
      <c r="K2" s="1021"/>
      <c r="L2" s="1021"/>
      <c r="M2" s="1021"/>
      <c r="N2" s="1022"/>
      <c r="O2" s="25"/>
      <c r="P2" s="25"/>
      <c r="Q2" s="25"/>
      <c r="R2" s="25"/>
      <c r="S2" s="25"/>
      <c r="T2" s="25"/>
    </row>
    <row r="3" spans="1:20" ht="18" x14ac:dyDescent="0.45">
      <c r="A3" s="25"/>
      <c r="B3" s="1029" t="s">
        <v>258</v>
      </c>
      <c r="C3" s="1026" t="s">
        <v>373</v>
      </c>
      <c r="D3" s="1027"/>
      <c r="E3" s="1027"/>
      <c r="F3" s="1028"/>
      <c r="G3" s="1042" t="s">
        <v>374</v>
      </c>
      <c r="H3" s="1043"/>
      <c r="I3" s="1043"/>
      <c r="J3" s="1043"/>
      <c r="K3" s="1043"/>
      <c r="L3" s="1043"/>
      <c r="M3" s="1044"/>
      <c r="N3" s="1023" t="s">
        <v>375</v>
      </c>
      <c r="O3" s="25"/>
      <c r="P3" s="25"/>
      <c r="Q3" s="25"/>
      <c r="R3" s="25"/>
      <c r="S3" s="25"/>
      <c r="T3" s="25"/>
    </row>
    <row r="4" spans="1:20" ht="98.25" customHeight="1" x14ac:dyDescent="0.45">
      <c r="A4" s="25"/>
      <c r="B4" s="1030"/>
      <c r="C4" s="1040" t="s">
        <v>376</v>
      </c>
      <c r="D4" s="1038" t="s">
        <v>377</v>
      </c>
      <c r="E4" s="1038" t="s">
        <v>378</v>
      </c>
      <c r="F4" s="1036" t="s">
        <v>379</v>
      </c>
      <c r="G4" s="63" t="s">
        <v>380</v>
      </c>
      <c r="H4" s="220" t="s">
        <v>381</v>
      </c>
      <c r="I4" s="220" t="s">
        <v>382</v>
      </c>
      <c r="J4" s="220" t="s">
        <v>383</v>
      </c>
      <c r="K4" s="220" t="s">
        <v>384</v>
      </c>
      <c r="L4" s="1034" t="s">
        <v>385</v>
      </c>
      <c r="M4" s="1032" t="s">
        <v>386</v>
      </c>
      <c r="N4" s="1024"/>
      <c r="O4" s="25"/>
      <c r="P4" s="25"/>
      <c r="Q4" s="25"/>
      <c r="R4" s="25"/>
      <c r="S4" s="25"/>
      <c r="T4" s="25"/>
    </row>
    <row r="5" spans="1:20" ht="65.650000000000006" customHeight="1" thickBot="1" x14ac:dyDescent="0.5">
      <c r="A5" s="25"/>
      <c r="B5" s="1031"/>
      <c r="C5" s="1041"/>
      <c r="D5" s="1039"/>
      <c r="E5" s="1039"/>
      <c r="F5" s="1037"/>
      <c r="G5" s="223" t="s">
        <v>114</v>
      </c>
      <c r="H5" s="222" t="s">
        <v>387</v>
      </c>
      <c r="I5" s="222" t="s">
        <v>388</v>
      </c>
      <c r="J5" s="222" t="s">
        <v>389</v>
      </c>
      <c r="K5" s="222" t="s">
        <v>390</v>
      </c>
      <c r="L5" s="1035"/>
      <c r="M5" s="1033"/>
      <c r="N5" s="1025"/>
      <c r="O5" s="25"/>
      <c r="P5" s="25"/>
      <c r="Q5" s="25"/>
      <c r="R5" s="25"/>
      <c r="S5" s="25"/>
      <c r="T5" s="25"/>
    </row>
    <row r="6" spans="1:20" x14ac:dyDescent="0.45">
      <c r="A6" s="25"/>
      <c r="B6" s="337" t="s">
        <v>296</v>
      </c>
      <c r="C6" s="335" t="s">
        <v>389</v>
      </c>
      <c r="D6" s="239" t="s">
        <v>389</v>
      </c>
      <c r="E6" s="340" t="s">
        <v>391</v>
      </c>
      <c r="F6" s="338" t="s">
        <v>389</v>
      </c>
      <c r="G6" s="224" t="s">
        <v>392</v>
      </c>
      <c r="H6" s="221" t="s">
        <v>392</v>
      </c>
      <c r="I6" s="221" t="s">
        <v>392</v>
      </c>
      <c r="J6" s="221">
        <v>1</v>
      </c>
      <c r="K6" s="7" t="s">
        <v>392</v>
      </c>
      <c r="L6" s="221" t="s">
        <v>392</v>
      </c>
      <c r="M6" s="225">
        <v>1</v>
      </c>
      <c r="N6" s="234" t="s">
        <v>391</v>
      </c>
      <c r="O6" s="25"/>
      <c r="P6" s="25"/>
      <c r="Q6" s="25"/>
      <c r="R6" s="25"/>
      <c r="S6" s="25"/>
      <c r="T6" s="25"/>
    </row>
    <row r="7" spans="1:20" x14ac:dyDescent="0.45">
      <c r="A7" s="25"/>
      <c r="B7" s="231" t="s">
        <v>298</v>
      </c>
      <c r="C7" s="336" t="s">
        <v>389</v>
      </c>
      <c r="D7" s="9" t="s">
        <v>389</v>
      </c>
      <c r="E7" s="233" t="s">
        <v>391</v>
      </c>
      <c r="F7" s="338" t="s">
        <v>389</v>
      </c>
      <c r="G7" s="226" t="s">
        <v>392</v>
      </c>
      <c r="H7" s="7" t="s">
        <v>392</v>
      </c>
      <c r="I7" s="7" t="s">
        <v>392</v>
      </c>
      <c r="J7" s="7">
        <v>1</v>
      </c>
      <c r="K7" s="7" t="s">
        <v>392</v>
      </c>
      <c r="L7" s="7" t="s">
        <v>392</v>
      </c>
      <c r="M7" s="227">
        <v>1</v>
      </c>
      <c r="N7" s="235" t="s">
        <v>391</v>
      </c>
      <c r="O7" s="25"/>
      <c r="P7" s="25"/>
      <c r="Q7" s="25"/>
      <c r="R7" s="25"/>
      <c r="S7" s="25"/>
      <c r="T7" s="25"/>
    </row>
    <row r="8" spans="1:20" x14ac:dyDescent="0.45">
      <c r="A8" s="25"/>
      <c r="B8" s="231" t="s">
        <v>299</v>
      </c>
      <c r="C8" s="336" t="s">
        <v>389</v>
      </c>
      <c r="D8" s="9" t="s">
        <v>389</v>
      </c>
      <c r="E8" s="233" t="s">
        <v>391</v>
      </c>
      <c r="F8" s="338" t="s">
        <v>389</v>
      </c>
      <c r="G8" s="226" t="s">
        <v>392</v>
      </c>
      <c r="H8" s="7" t="s">
        <v>392</v>
      </c>
      <c r="I8" s="7" t="s">
        <v>392</v>
      </c>
      <c r="J8" s="7">
        <v>1</v>
      </c>
      <c r="K8" s="7" t="s">
        <v>392</v>
      </c>
      <c r="L8" s="7" t="s">
        <v>392</v>
      </c>
      <c r="M8" s="227">
        <v>1</v>
      </c>
      <c r="N8" s="235" t="s">
        <v>391</v>
      </c>
      <c r="O8" s="25"/>
      <c r="P8" s="25"/>
      <c r="Q8" s="25"/>
      <c r="R8" s="25"/>
      <c r="S8" s="25"/>
      <c r="T8" s="25"/>
    </row>
    <row r="9" spans="1:20" x14ac:dyDescent="0.45">
      <c r="A9" s="25"/>
      <c r="B9" s="231" t="s">
        <v>300</v>
      </c>
      <c r="C9" s="336" t="s">
        <v>389</v>
      </c>
      <c r="D9" s="9" t="s">
        <v>389</v>
      </c>
      <c r="E9" s="233" t="s">
        <v>391</v>
      </c>
      <c r="F9" s="338" t="s">
        <v>389</v>
      </c>
      <c r="G9" s="226" t="s">
        <v>392</v>
      </c>
      <c r="H9" s="7" t="s">
        <v>392</v>
      </c>
      <c r="I9" s="7" t="s">
        <v>392</v>
      </c>
      <c r="J9" s="7">
        <v>1</v>
      </c>
      <c r="K9" s="7" t="s">
        <v>392</v>
      </c>
      <c r="L9" s="7" t="s">
        <v>392</v>
      </c>
      <c r="M9" s="227">
        <v>1</v>
      </c>
      <c r="N9" s="235" t="s">
        <v>391</v>
      </c>
      <c r="O9" s="25"/>
      <c r="P9" s="25"/>
      <c r="Q9" s="25"/>
      <c r="R9" s="25"/>
      <c r="S9" s="25"/>
      <c r="T9" s="25"/>
    </row>
    <row r="10" spans="1:20" ht="28.5" x14ac:dyDescent="0.45">
      <c r="A10" s="25"/>
      <c r="B10" s="231" t="s">
        <v>301</v>
      </c>
      <c r="C10" s="336" t="s">
        <v>389</v>
      </c>
      <c r="D10" s="9" t="s">
        <v>389</v>
      </c>
      <c r="E10" s="233" t="s">
        <v>393</v>
      </c>
      <c r="F10" s="238" t="s">
        <v>392</v>
      </c>
      <c r="G10" s="226" t="s">
        <v>392</v>
      </c>
      <c r="H10" s="7" t="s">
        <v>392</v>
      </c>
      <c r="I10" s="7" t="s">
        <v>392</v>
      </c>
      <c r="J10" s="7">
        <v>1</v>
      </c>
      <c r="K10" s="7" t="s">
        <v>392</v>
      </c>
      <c r="L10" s="7" t="s">
        <v>392</v>
      </c>
      <c r="M10" s="227" t="s">
        <v>392</v>
      </c>
      <c r="N10" s="235" t="s">
        <v>394</v>
      </c>
      <c r="O10" s="25"/>
      <c r="P10" s="25"/>
      <c r="Q10" s="25"/>
      <c r="R10" s="25"/>
      <c r="S10" s="25"/>
      <c r="T10" s="25"/>
    </row>
    <row r="11" spans="1:20" x14ac:dyDescent="0.45">
      <c r="A11" s="25"/>
      <c r="B11" s="231" t="s">
        <v>303</v>
      </c>
      <c r="C11" s="336" t="s">
        <v>389</v>
      </c>
      <c r="D11" s="9" t="s">
        <v>389</v>
      </c>
      <c r="E11" s="233" t="s">
        <v>391</v>
      </c>
      <c r="F11" s="338" t="s">
        <v>389</v>
      </c>
      <c r="G11" s="226" t="s">
        <v>392</v>
      </c>
      <c r="H11" s="7" t="s">
        <v>392</v>
      </c>
      <c r="I11" s="7" t="s">
        <v>392</v>
      </c>
      <c r="J11" s="7">
        <v>1</v>
      </c>
      <c r="K11" s="7" t="s">
        <v>392</v>
      </c>
      <c r="L11" s="7" t="s">
        <v>392</v>
      </c>
      <c r="M11" s="227" t="s">
        <v>392</v>
      </c>
      <c r="N11" s="235" t="s">
        <v>391</v>
      </c>
      <c r="O11" s="25"/>
      <c r="P11" s="25"/>
      <c r="Q11" s="25"/>
      <c r="R11" s="25"/>
      <c r="S11" s="25"/>
      <c r="T11" s="25"/>
    </row>
    <row r="12" spans="1:20" ht="28.5" x14ac:dyDescent="0.45">
      <c r="A12" s="25"/>
      <c r="B12" s="231" t="s">
        <v>304</v>
      </c>
      <c r="C12" s="336" t="s">
        <v>389</v>
      </c>
      <c r="D12" s="9" t="s">
        <v>389</v>
      </c>
      <c r="E12" s="233" t="s">
        <v>393</v>
      </c>
      <c r="F12" s="238" t="s">
        <v>392</v>
      </c>
      <c r="G12" s="226" t="s">
        <v>392</v>
      </c>
      <c r="H12" s="7" t="s">
        <v>392</v>
      </c>
      <c r="I12" s="7" t="s">
        <v>392</v>
      </c>
      <c r="J12" s="7">
        <v>1</v>
      </c>
      <c r="K12" s="7" t="s">
        <v>392</v>
      </c>
      <c r="L12" s="7" t="s">
        <v>392</v>
      </c>
      <c r="M12" s="227" t="s">
        <v>392</v>
      </c>
      <c r="N12" s="235" t="s">
        <v>394</v>
      </c>
      <c r="O12" s="25"/>
      <c r="P12" s="25"/>
      <c r="Q12" s="25"/>
      <c r="R12" s="25"/>
      <c r="S12" s="25"/>
      <c r="T12" s="25"/>
    </row>
    <row r="13" spans="1:20" ht="28.5" x14ac:dyDescent="0.45">
      <c r="A13" s="25"/>
      <c r="B13" s="231" t="s">
        <v>305</v>
      </c>
      <c r="C13" s="336" t="s">
        <v>389</v>
      </c>
      <c r="D13" s="9" t="s">
        <v>389</v>
      </c>
      <c r="E13" s="233" t="s">
        <v>393</v>
      </c>
      <c r="F13" s="238" t="s">
        <v>392</v>
      </c>
      <c r="G13" s="226" t="s">
        <v>392</v>
      </c>
      <c r="H13" s="7" t="s">
        <v>392</v>
      </c>
      <c r="I13" s="7" t="s">
        <v>392</v>
      </c>
      <c r="J13" s="7">
        <v>1</v>
      </c>
      <c r="K13" s="7" t="s">
        <v>392</v>
      </c>
      <c r="L13" s="7" t="s">
        <v>392</v>
      </c>
      <c r="M13" s="227" t="s">
        <v>392</v>
      </c>
      <c r="N13" s="235" t="s">
        <v>394</v>
      </c>
      <c r="O13" s="25"/>
      <c r="P13" s="25"/>
      <c r="Q13" s="25"/>
      <c r="R13" s="25"/>
      <c r="S13" s="25"/>
      <c r="T13" s="25"/>
    </row>
    <row r="14" spans="1:20" ht="28.5" x14ac:dyDescent="0.45">
      <c r="A14" s="25"/>
      <c r="B14" s="231" t="s">
        <v>306</v>
      </c>
      <c r="C14" s="336" t="s">
        <v>389</v>
      </c>
      <c r="D14" s="9" t="s">
        <v>389</v>
      </c>
      <c r="E14" s="233" t="s">
        <v>393</v>
      </c>
      <c r="F14" s="238" t="s">
        <v>392</v>
      </c>
      <c r="G14" s="226" t="s">
        <v>392</v>
      </c>
      <c r="H14" s="7" t="s">
        <v>392</v>
      </c>
      <c r="I14" s="7" t="s">
        <v>392</v>
      </c>
      <c r="J14" s="7">
        <v>1</v>
      </c>
      <c r="K14" s="7" t="s">
        <v>392</v>
      </c>
      <c r="L14" s="7" t="s">
        <v>392</v>
      </c>
      <c r="M14" s="227" t="s">
        <v>392</v>
      </c>
      <c r="N14" s="235" t="s">
        <v>394</v>
      </c>
      <c r="O14" s="25"/>
      <c r="P14" s="25"/>
      <c r="Q14" s="25"/>
      <c r="R14" s="25"/>
      <c r="S14" s="25"/>
      <c r="T14" s="25"/>
    </row>
    <row r="15" spans="1:20" x14ac:dyDescent="0.45">
      <c r="A15" s="25"/>
      <c r="B15" s="231" t="s">
        <v>307</v>
      </c>
      <c r="C15" s="336" t="s">
        <v>389</v>
      </c>
      <c r="D15" s="9" t="s">
        <v>389</v>
      </c>
      <c r="E15" s="233" t="s">
        <v>395</v>
      </c>
      <c r="F15" s="238" t="s">
        <v>392</v>
      </c>
      <c r="G15" s="226" t="s">
        <v>392</v>
      </c>
      <c r="H15" s="7" t="s">
        <v>392</v>
      </c>
      <c r="I15" s="7" t="s">
        <v>392</v>
      </c>
      <c r="J15" s="7">
        <v>1</v>
      </c>
      <c r="K15" s="7" t="s">
        <v>392</v>
      </c>
      <c r="L15" s="7" t="s">
        <v>392</v>
      </c>
      <c r="M15" s="227" t="s">
        <v>392</v>
      </c>
      <c r="N15" s="235" t="s">
        <v>396</v>
      </c>
      <c r="O15" s="25"/>
      <c r="P15" s="25"/>
      <c r="Q15" s="25"/>
      <c r="R15" s="25"/>
      <c r="S15" s="25"/>
      <c r="T15" s="25"/>
    </row>
    <row r="16" spans="1:20" x14ac:dyDescent="0.45">
      <c r="A16" s="25"/>
      <c r="B16" s="231" t="s">
        <v>308</v>
      </c>
      <c r="C16" s="336" t="s">
        <v>389</v>
      </c>
      <c r="D16" s="9" t="s">
        <v>389</v>
      </c>
      <c r="E16" s="233" t="s">
        <v>395</v>
      </c>
      <c r="F16" s="238" t="s">
        <v>392</v>
      </c>
      <c r="G16" s="226" t="s">
        <v>392</v>
      </c>
      <c r="H16" s="7" t="s">
        <v>392</v>
      </c>
      <c r="I16" s="7" t="s">
        <v>392</v>
      </c>
      <c r="J16" s="7">
        <v>1</v>
      </c>
      <c r="K16" s="7" t="s">
        <v>392</v>
      </c>
      <c r="L16" s="7" t="s">
        <v>392</v>
      </c>
      <c r="M16" s="227" t="s">
        <v>392</v>
      </c>
      <c r="N16" s="235" t="s">
        <v>396</v>
      </c>
      <c r="O16" s="25"/>
      <c r="P16" s="25"/>
      <c r="Q16" s="25"/>
      <c r="R16" s="25"/>
      <c r="S16" s="25"/>
      <c r="T16" s="25"/>
    </row>
    <row r="17" spans="1:20" x14ac:dyDescent="0.45">
      <c r="A17" s="25"/>
      <c r="B17" s="231" t="s">
        <v>309</v>
      </c>
      <c r="C17" s="226" t="s">
        <v>114</v>
      </c>
      <c r="D17" s="7" t="s">
        <v>397</v>
      </c>
      <c r="E17" s="227" t="s">
        <v>398</v>
      </c>
      <c r="F17" s="238" t="s">
        <v>387</v>
      </c>
      <c r="G17" s="226">
        <v>4</v>
      </c>
      <c r="H17" s="7">
        <v>7</v>
      </c>
      <c r="I17" s="7" t="s">
        <v>392</v>
      </c>
      <c r="J17" s="7" t="s">
        <v>392</v>
      </c>
      <c r="K17" s="7" t="s">
        <v>392</v>
      </c>
      <c r="L17" s="7">
        <v>10</v>
      </c>
      <c r="M17" s="227">
        <v>15</v>
      </c>
      <c r="N17" s="235" t="s">
        <v>399</v>
      </c>
      <c r="O17" s="25"/>
      <c r="P17" s="25"/>
      <c r="Q17" s="25"/>
      <c r="R17" s="25"/>
      <c r="S17" s="25"/>
      <c r="T17" s="25"/>
    </row>
    <row r="18" spans="1:20" x14ac:dyDescent="0.45">
      <c r="A18" s="25"/>
      <c r="B18" s="231" t="s">
        <v>310</v>
      </c>
      <c r="C18" s="226" t="s">
        <v>114</v>
      </c>
      <c r="D18" s="7" t="s">
        <v>397</v>
      </c>
      <c r="E18" s="227" t="s">
        <v>310</v>
      </c>
      <c r="F18" s="238" t="s">
        <v>387</v>
      </c>
      <c r="G18" s="226">
        <v>10</v>
      </c>
      <c r="H18" s="7">
        <v>15</v>
      </c>
      <c r="I18" s="7" t="s">
        <v>392</v>
      </c>
      <c r="J18" s="7" t="s">
        <v>392</v>
      </c>
      <c r="K18" s="7" t="s">
        <v>392</v>
      </c>
      <c r="L18" s="7">
        <v>10</v>
      </c>
      <c r="M18" s="227">
        <v>15</v>
      </c>
      <c r="N18" s="235" t="s">
        <v>400</v>
      </c>
      <c r="O18" s="25"/>
      <c r="P18" s="25"/>
      <c r="Q18" s="25"/>
      <c r="R18" s="25"/>
      <c r="S18" s="25"/>
      <c r="T18" s="25"/>
    </row>
    <row r="19" spans="1:20" x14ac:dyDescent="0.45">
      <c r="A19" s="25"/>
      <c r="B19" s="231" t="s">
        <v>311</v>
      </c>
      <c r="C19" s="226" t="s">
        <v>114</v>
      </c>
      <c r="D19" s="7" t="s">
        <v>397</v>
      </c>
      <c r="E19" s="227" t="s">
        <v>311</v>
      </c>
      <c r="F19" s="238" t="s">
        <v>387</v>
      </c>
      <c r="G19" s="226">
        <v>5</v>
      </c>
      <c r="H19" s="7">
        <v>10</v>
      </c>
      <c r="I19" s="7" t="s">
        <v>392</v>
      </c>
      <c r="J19" s="7" t="s">
        <v>392</v>
      </c>
      <c r="K19" s="7" t="s">
        <v>392</v>
      </c>
      <c r="L19" s="7">
        <v>10</v>
      </c>
      <c r="M19" s="227">
        <v>15</v>
      </c>
      <c r="N19" s="235" t="s">
        <v>400</v>
      </c>
      <c r="O19" s="25"/>
      <c r="P19" s="25"/>
      <c r="Q19" s="25"/>
      <c r="R19" s="25"/>
      <c r="S19" s="25"/>
      <c r="T19" s="25"/>
    </row>
    <row r="20" spans="1:20" x14ac:dyDescent="0.45">
      <c r="A20" s="25"/>
      <c r="B20" s="231" t="s">
        <v>312</v>
      </c>
      <c r="C20" s="226" t="s">
        <v>114</v>
      </c>
      <c r="D20" s="7" t="s">
        <v>397</v>
      </c>
      <c r="E20" s="227" t="s">
        <v>312</v>
      </c>
      <c r="F20" s="238" t="s">
        <v>387</v>
      </c>
      <c r="G20" s="226">
        <v>10</v>
      </c>
      <c r="H20" s="7">
        <v>15</v>
      </c>
      <c r="I20" s="7" t="s">
        <v>392</v>
      </c>
      <c r="J20" s="7" t="s">
        <v>392</v>
      </c>
      <c r="K20" s="7" t="s">
        <v>392</v>
      </c>
      <c r="L20" s="7">
        <v>10</v>
      </c>
      <c r="M20" s="227">
        <v>15</v>
      </c>
      <c r="N20" s="235" t="s">
        <v>400</v>
      </c>
      <c r="O20" s="25"/>
      <c r="P20" s="25"/>
      <c r="Q20" s="25"/>
      <c r="R20" s="25"/>
      <c r="S20" s="25"/>
      <c r="T20" s="25"/>
    </row>
    <row r="21" spans="1:20" x14ac:dyDescent="0.45">
      <c r="A21" s="25"/>
      <c r="B21" s="231" t="s">
        <v>313</v>
      </c>
      <c r="C21" s="226" t="s">
        <v>114</v>
      </c>
      <c r="D21" s="7" t="s">
        <v>397</v>
      </c>
      <c r="E21" s="227" t="s">
        <v>313</v>
      </c>
      <c r="F21" s="238" t="s">
        <v>387</v>
      </c>
      <c r="G21" s="226">
        <v>5</v>
      </c>
      <c r="H21" s="7">
        <v>10</v>
      </c>
      <c r="I21" s="7" t="s">
        <v>392</v>
      </c>
      <c r="J21" s="7" t="s">
        <v>392</v>
      </c>
      <c r="K21" s="7" t="s">
        <v>392</v>
      </c>
      <c r="L21" s="7">
        <v>3</v>
      </c>
      <c r="M21" s="227">
        <v>10</v>
      </c>
      <c r="N21" s="235" t="s">
        <v>400</v>
      </c>
      <c r="O21" s="25"/>
      <c r="P21" s="25"/>
      <c r="Q21" s="25"/>
      <c r="R21" s="25"/>
      <c r="S21" s="25"/>
      <c r="T21" s="25"/>
    </row>
    <row r="22" spans="1:20" ht="28.5" x14ac:dyDescent="0.45">
      <c r="A22" s="25"/>
      <c r="B22" s="231" t="s">
        <v>314</v>
      </c>
      <c r="C22" s="336" t="s">
        <v>389</v>
      </c>
      <c r="D22" s="9" t="s">
        <v>389</v>
      </c>
      <c r="E22" s="227" t="s">
        <v>401</v>
      </c>
      <c r="F22" s="238" t="s">
        <v>392</v>
      </c>
      <c r="G22" s="226" t="s">
        <v>392</v>
      </c>
      <c r="H22" s="7" t="s">
        <v>392</v>
      </c>
      <c r="I22" s="7" t="s">
        <v>392</v>
      </c>
      <c r="J22" s="7">
        <v>1</v>
      </c>
      <c r="K22" s="7" t="s">
        <v>392</v>
      </c>
      <c r="L22" s="7" t="s">
        <v>392</v>
      </c>
      <c r="M22" s="227" t="s">
        <v>392</v>
      </c>
      <c r="N22" s="235" t="s">
        <v>402</v>
      </c>
      <c r="O22" s="25"/>
      <c r="P22" s="25"/>
      <c r="Q22" s="25"/>
      <c r="R22" s="25"/>
      <c r="S22" s="25"/>
      <c r="T22" s="25"/>
    </row>
    <row r="23" spans="1:20" x14ac:dyDescent="0.45">
      <c r="A23" s="25"/>
      <c r="B23" s="231" t="s">
        <v>315</v>
      </c>
      <c r="C23" s="226" t="s">
        <v>114</v>
      </c>
      <c r="D23" s="7" t="s">
        <v>397</v>
      </c>
      <c r="E23" s="227" t="s">
        <v>315</v>
      </c>
      <c r="F23" s="238" t="s">
        <v>387</v>
      </c>
      <c r="G23" s="226">
        <v>5</v>
      </c>
      <c r="H23" s="7">
        <v>10</v>
      </c>
      <c r="I23" s="7" t="s">
        <v>392</v>
      </c>
      <c r="J23" s="7" t="s">
        <v>392</v>
      </c>
      <c r="K23" s="7" t="s">
        <v>392</v>
      </c>
      <c r="L23" s="7">
        <v>3</v>
      </c>
      <c r="M23" s="227">
        <v>10</v>
      </c>
      <c r="N23" s="235" t="s">
        <v>400</v>
      </c>
      <c r="O23" s="25"/>
      <c r="P23" s="25"/>
      <c r="Q23" s="25"/>
      <c r="R23" s="25"/>
      <c r="S23" s="25"/>
      <c r="T23" s="25"/>
    </row>
    <row r="24" spans="1:20" x14ac:dyDescent="0.45">
      <c r="A24" s="25"/>
      <c r="B24" s="231" t="s">
        <v>316</v>
      </c>
      <c r="C24" s="226" t="s">
        <v>114</v>
      </c>
      <c r="D24" s="7" t="s">
        <v>397</v>
      </c>
      <c r="E24" s="227" t="s">
        <v>316</v>
      </c>
      <c r="F24" s="238" t="s">
        <v>387</v>
      </c>
      <c r="G24" s="226">
        <v>5</v>
      </c>
      <c r="H24" s="7">
        <v>10</v>
      </c>
      <c r="I24" s="7" t="s">
        <v>392</v>
      </c>
      <c r="J24" s="7" t="s">
        <v>392</v>
      </c>
      <c r="K24" s="7" t="s">
        <v>392</v>
      </c>
      <c r="L24" s="7">
        <v>3</v>
      </c>
      <c r="M24" s="227">
        <v>10</v>
      </c>
      <c r="N24" s="235" t="s">
        <v>400</v>
      </c>
      <c r="O24" s="25"/>
      <c r="P24" s="25"/>
      <c r="Q24" s="25"/>
      <c r="R24" s="25"/>
      <c r="S24" s="25"/>
      <c r="T24" s="25"/>
    </row>
    <row r="25" spans="1:20" x14ac:dyDescent="0.45">
      <c r="A25" s="25"/>
      <c r="B25" s="231" t="s">
        <v>317</v>
      </c>
      <c r="C25" s="226" t="s">
        <v>114</v>
      </c>
      <c r="D25" s="7" t="s">
        <v>397</v>
      </c>
      <c r="E25" s="227" t="s">
        <v>317</v>
      </c>
      <c r="F25" s="238" t="s">
        <v>387</v>
      </c>
      <c r="G25" s="226">
        <v>10</v>
      </c>
      <c r="H25" s="7">
        <v>15</v>
      </c>
      <c r="I25" s="7" t="s">
        <v>392</v>
      </c>
      <c r="J25" s="7" t="s">
        <v>392</v>
      </c>
      <c r="K25" s="7" t="s">
        <v>392</v>
      </c>
      <c r="L25" s="7">
        <v>7</v>
      </c>
      <c r="M25" s="227">
        <v>15</v>
      </c>
      <c r="N25" s="235" t="s">
        <v>400</v>
      </c>
      <c r="O25" s="25"/>
      <c r="P25" s="25"/>
      <c r="Q25" s="25"/>
      <c r="R25" s="25"/>
      <c r="S25" s="25"/>
      <c r="T25" s="25"/>
    </row>
    <row r="26" spans="1:20" x14ac:dyDescent="0.45">
      <c r="A26" s="25"/>
      <c r="B26" s="231" t="s">
        <v>318</v>
      </c>
      <c r="C26" s="226" t="s">
        <v>114</v>
      </c>
      <c r="D26" s="7" t="s">
        <v>397</v>
      </c>
      <c r="E26" s="227" t="s">
        <v>318</v>
      </c>
      <c r="F26" s="238" t="s">
        <v>387</v>
      </c>
      <c r="G26" s="226">
        <v>5</v>
      </c>
      <c r="H26" s="7">
        <v>10</v>
      </c>
      <c r="I26" s="7" t="s">
        <v>392</v>
      </c>
      <c r="J26" s="7" t="s">
        <v>392</v>
      </c>
      <c r="K26" s="7" t="s">
        <v>392</v>
      </c>
      <c r="L26" s="7">
        <v>3</v>
      </c>
      <c r="M26" s="227">
        <v>10</v>
      </c>
      <c r="N26" s="235" t="s">
        <v>400</v>
      </c>
      <c r="O26" s="25"/>
      <c r="P26" s="25"/>
      <c r="Q26" s="25"/>
      <c r="R26" s="25"/>
      <c r="S26" s="25"/>
      <c r="T26" s="25"/>
    </row>
    <row r="27" spans="1:20" ht="28.5" x14ac:dyDescent="0.45">
      <c r="A27" s="25"/>
      <c r="B27" s="231" t="s">
        <v>319</v>
      </c>
      <c r="C27" s="336" t="s">
        <v>389</v>
      </c>
      <c r="D27" s="9" t="s">
        <v>389</v>
      </c>
      <c r="E27" s="227" t="s">
        <v>401</v>
      </c>
      <c r="F27" s="238" t="s">
        <v>392</v>
      </c>
      <c r="G27" s="226" t="s">
        <v>392</v>
      </c>
      <c r="H27" s="7" t="s">
        <v>392</v>
      </c>
      <c r="I27" s="7" t="s">
        <v>392</v>
      </c>
      <c r="J27" s="7">
        <v>1</v>
      </c>
      <c r="K27" s="7" t="s">
        <v>392</v>
      </c>
      <c r="L27" s="7" t="s">
        <v>392</v>
      </c>
      <c r="M27" s="227" t="s">
        <v>392</v>
      </c>
      <c r="N27" s="235" t="s">
        <v>402</v>
      </c>
      <c r="O27" s="25"/>
      <c r="P27" s="25"/>
      <c r="Q27" s="25"/>
      <c r="R27" s="25"/>
      <c r="S27" s="25"/>
      <c r="T27" s="25"/>
    </row>
    <row r="28" spans="1:20" ht="28.5" x14ac:dyDescent="0.45">
      <c r="A28" s="25"/>
      <c r="B28" s="231" t="s">
        <v>320</v>
      </c>
      <c r="C28" s="336" t="s">
        <v>389</v>
      </c>
      <c r="D28" s="9" t="s">
        <v>389</v>
      </c>
      <c r="E28" s="227" t="s">
        <v>401</v>
      </c>
      <c r="F28" s="238" t="s">
        <v>392</v>
      </c>
      <c r="G28" s="226" t="s">
        <v>392</v>
      </c>
      <c r="H28" s="7" t="s">
        <v>392</v>
      </c>
      <c r="I28" s="7" t="s">
        <v>392</v>
      </c>
      <c r="J28" s="7">
        <v>1</v>
      </c>
      <c r="K28" s="7" t="s">
        <v>392</v>
      </c>
      <c r="L28" s="7" t="s">
        <v>392</v>
      </c>
      <c r="M28" s="227" t="s">
        <v>392</v>
      </c>
      <c r="N28" s="235" t="s">
        <v>402</v>
      </c>
      <c r="O28" s="25"/>
      <c r="P28" s="25"/>
      <c r="Q28" s="25"/>
      <c r="R28" s="25"/>
      <c r="S28" s="25"/>
      <c r="T28" s="25"/>
    </row>
    <row r="29" spans="1:20" x14ac:dyDescent="0.45">
      <c r="A29" s="25"/>
      <c r="B29" s="231" t="s">
        <v>321</v>
      </c>
      <c r="C29" s="226" t="s">
        <v>114</v>
      </c>
      <c r="D29" s="7" t="s">
        <v>397</v>
      </c>
      <c r="E29" s="227" t="s">
        <v>321</v>
      </c>
      <c r="F29" s="238" t="s">
        <v>387</v>
      </c>
      <c r="G29" s="226">
        <v>10</v>
      </c>
      <c r="H29" s="7">
        <v>15</v>
      </c>
      <c r="I29" s="7" t="s">
        <v>392</v>
      </c>
      <c r="J29" s="7" t="s">
        <v>392</v>
      </c>
      <c r="K29" s="7" t="s">
        <v>392</v>
      </c>
      <c r="L29" s="7">
        <v>7</v>
      </c>
      <c r="M29" s="227">
        <v>15</v>
      </c>
      <c r="N29" s="235" t="s">
        <v>400</v>
      </c>
      <c r="O29" s="25"/>
      <c r="P29" s="25"/>
      <c r="Q29" s="25"/>
      <c r="R29" s="25"/>
      <c r="S29" s="25"/>
      <c r="T29" s="25"/>
    </row>
    <row r="30" spans="1:20" x14ac:dyDescent="0.45">
      <c r="A30" s="25"/>
      <c r="B30" s="231" t="s">
        <v>322</v>
      </c>
      <c r="C30" s="226" t="s">
        <v>114</v>
      </c>
      <c r="D30" s="7" t="s">
        <v>397</v>
      </c>
      <c r="E30" s="227" t="s">
        <v>403</v>
      </c>
      <c r="F30" s="238" t="s">
        <v>387</v>
      </c>
      <c r="G30" s="226">
        <v>3</v>
      </c>
      <c r="H30" s="7">
        <v>5</v>
      </c>
      <c r="I30" s="7" t="s">
        <v>392</v>
      </c>
      <c r="J30" s="7" t="s">
        <v>392</v>
      </c>
      <c r="K30" s="7" t="s">
        <v>392</v>
      </c>
      <c r="L30" s="7">
        <v>4</v>
      </c>
      <c r="M30" s="227">
        <v>5</v>
      </c>
      <c r="N30" s="235" t="s">
        <v>404</v>
      </c>
      <c r="O30" s="25"/>
      <c r="P30" s="25"/>
      <c r="Q30" s="25"/>
      <c r="R30" s="25"/>
      <c r="S30" s="25"/>
      <c r="T30" s="25"/>
    </row>
    <row r="31" spans="1:20" x14ac:dyDescent="0.45">
      <c r="A31" s="25"/>
      <c r="B31" s="231" t="s">
        <v>324</v>
      </c>
      <c r="C31" s="226" t="s">
        <v>114</v>
      </c>
      <c r="D31" s="7" t="s">
        <v>397</v>
      </c>
      <c r="E31" s="227" t="s">
        <v>324</v>
      </c>
      <c r="F31" s="238" t="s">
        <v>387</v>
      </c>
      <c r="G31" s="226">
        <v>3</v>
      </c>
      <c r="H31" s="7">
        <v>5</v>
      </c>
      <c r="I31" s="7" t="s">
        <v>392</v>
      </c>
      <c r="J31" s="7" t="s">
        <v>392</v>
      </c>
      <c r="K31" s="7" t="s">
        <v>392</v>
      </c>
      <c r="L31" s="7">
        <v>4</v>
      </c>
      <c r="M31" s="227">
        <v>5</v>
      </c>
      <c r="N31" s="235" t="s">
        <v>400</v>
      </c>
      <c r="O31" s="25"/>
      <c r="P31" s="25"/>
      <c r="Q31" s="25"/>
      <c r="R31" s="25"/>
      <c r="S31" s="25"/>
      <c r="T31" s="25"/>
    </row>
    <row r="32" spans="1:20" x14ac:dyDescent="0.45">
      <c r="A32" s="25"/>
      <c r="B32" s="231" t="s">
        <v>325</v>
      </c>
      <c r="C32" s="226" t="s">
        <v>114</v>
      </c>
      <c r="D32" s="7" t="s">
        <v>397</v>
      </c>
      <c r="E32" s="227" t="s">
        <v>325</v>
      </c>
      <c r="F32" s="238" t="s">
        <v>387</v>
      </c>
      <c r="G32" s="226">
        <v>5</v>
      </c>
      <c r="H32" s="7">
        <v>10</v>
      </c>
      <c r="I32" s="7" t="s">
        <v>392</v>
      </c>
      <c r="J32" s="7" t="s">
        <v>392</v>
      </c>
      <c r="K32" s="7" t="s">
        <v>392</v>
      </c>
      <c r="L32" s="7">
        <v>20</v>
      </c>
      <c r="M32" s="227">
        <v>10</v>
      </c>
      <c r="N32" s="235" t="s">
        <v>400</v>
      </c>
      <c r="O32" s="25"/>
      <c r="P32" s="25"/>
      <c r="Q32" s="25"/>
      <c r="R32" s="25"/>
      <c r="S32" s="25"/>
      <c r="T32" s="25"/>
    </row>
    <row r="33" spans="1:20" x14ac:dyDescent="0.45">
      <c r="A33" s="25"/>
      <c r="B33" s="231" t="s">
        <v>326</v>
      </c>
      <c r="C33" s="226" t="s">
        <v>114</v>
      </c>
      <c r="D33" s="7" t="s">
        <v>397</v>
      </c>
      <c r="E33" s="227" t="s">
        <v>326</v>
      </c>
      <c r="F33" s="238" t="s">
        <v>387</v>
      </c>
      <c r="G33" s="226">
        <v>3</v>
      </c>
      <c r="H33" s="7">
        <v>5</v>
      </c>
      <c r="I33" s="7" t="s">
        <v>392</v>
      </c>
      <c r="J33" s="7" t="s">
        <v>392</v>
      </c>
      <c r="K33" s="7" t="s">
        <v>392</v>
      </c>
      <c r="L33" s="7">
        <v>2</v>
      </c>
      <c r="M33" s="227" t="s">
        <v>392</v>
      </c>
      <c r="N33" s="235" t="s">
        <v>400</v>
      </c>
      <c r="O33" s="25"/>
      <c r="P33" s="25"/>
      <c r="Q33" s="25"/>
      <c r="R33" s="25"/>
      <c r="S33" s="25"/>
      <c r="T33" s="25"/>
    </row>
    <row r="34" spans="1:20" x14ac:dyDescent="0.45">
      <c r="A34" s="25"/>
      <c r="B34" s="231" t="s">
        <v>327</v>
      </c>
      <c r="C34" s="226" t="s">
        <v>114</v>
      </c>
      <c r="D34" s="7" t="s">
        <v>397</v>
      </c>
      <c r="E34" s="227" t="s">
        <v>327</v>
      </c>
      <c r="F34" s="238" t="s">
        <v>387</v>
      </c>
      <c r="G34" s="226">
        <v>10</v>
      </c>
      <c r="H34" s="7">
        <v>20</v>
      </c>
      <c r="I34" s="7" t="s">
        <v>392</v>
      </c>
      <c r="J34" s="7" t="s">
        <v>392</v>
      </c>
      <c r="K34" s="7" t="s">
        <v>392</v>
      </c>
      <c r="L34" s="7">
        <v>10</v>
      </c>
      <c r="M34" s="227">
        <v>20</v>
      </c>
      <c r="N34" s="235" t="s">
        <v>400</v>
      </c>
      <c r="O34" s="25"/>
      <c r="P34" s="25"/>
      <c r="Q34" s="25"/>
      <c r="R34" s="25"/>
      <c r="S34" s="25"/>
      <c r="T34" s="25"/>
    </row>
    <row r="35" spans="1:20" x14ac:dyDescent="0.45">
      <c r="A35" s="25"/>
      <c r="B35" s="231" t="s">
        <v>328</v>
      </c>
      <c r="C35" s="226" t="s">
        <v>114</v>
      </c>
      <c r="D35" s="7" t="s">
        <v>397</v>
      </c>
      <c r="E35" s="231" t="s">
        <v>328</v>
      </c>
      <c r="F35" s="238" t="s">
        <v>387</v>
      </c>
      <c r="G35" s="226">
        <v>3</v>
      </c>
      <c r="H35" s="7">
        <v>5</v>
      </c>
      <c r="I35" s="7" t="s">
        <v>392</v>
      </c>
      <c r="J35" s="7" t="s">
        <v>392</v>
      </c>
      <c r="K35" s="7" t="s">
        <v>392</v>
      </c>
      <c r="L35" s="7">
        <v>2</v>
      </c>
      <c r="M35" s="227" t="s">
        <v>392</v>
      </c>
      <c r="N35" s="235" t="s">
        <v>400</v>
      </c>
      <c r="O35" s="25"/>
      <c r="P35" s="25"/>
      <c r="Q35" s="25"/>
      <c r="R35" s="25"/>
      <c r="S35" s="25"/>
      <c r="T35" s="25"/>
    </row>
    <row r="36" spans="1:20" x14ac:dyDescent="0.45">
      <c r="A36" s="25"/>
      <c r="B36" s="231" t="s">
        <v>329</v>
      </c>
      <c r="C36" s="226" t="s">
        <v>114</v>
      </c>
      <c r="D36" s="7" t="s">
        <v>397</v>
      </c>
      <c r="E36" s="227" t="s">
        <v>329</v>
      </c>
      <c r="F36" s="238" t="s">
        <v>387</v>
      </c>
      <c r="G36" s="226">
        <v>1</v>
      </c>
      <c r="H36" s="7">
        <v>1</v>
      </c>
      <c r="I36" s="7" t="s">
        <v>392</v>
      </c>
      <c r="J36" s="7" t="s">
        <v>392</v>
      </c>
      <c r="K36" s="7" t="s">
        <v>392</v>
      </c>
      <c r="L36" s="7">
        <v>1</v>
      </c>
      <c r="M36" s="227">
        <v>1</v>
      </c>
      <c r="N36" s="235" t="s">
        <v>400</v>
      </c>
      <c r="O36" s="25"/>
      <c r="P36" s="25"/>
      <c r="Q36" s="25"/>
      <c r="R36" s="25"/>
      <c r="S36" s="25"/>
      <c r="T36" s="25"/>
    </row>
    <row r="37" spans="1:20" x14ac:dyDescent="0.45">
      <c r="A37" s="25"/>
      <c r="B37" s="231" t="s">
        <v>330</v>
      </c>
      <c r="C37" s="226" t="s">
        <v>390</v>
      </c>
      <c r="D37" s="7" t="s">
        <v>390</v>
      </c>
      <c r="E37" s="233" t="s">
        <v>391</v>
      </c>
      <c r="F37" s="238" t="s">
        <v>392</v>
      </c>
      <c r="G37" s="226" t="s">
        <v>392</v>
      </c>
      <c r="H37" s="7" t="s">
        <v>392</v>
      </c>
      <c r="I37" s="7" t="s">
        <v>392</v>
      </c>
      <c r="J37" s="7" t="s">
        <v>392</v>
      </c>
      <c r="K37" s="7">
        <v>0</v>
      </c>
      <c r="L37" s="7" t="s">
        <v>392</v>
      </c>
      <c r="M37" s="227" t="s">
        <v>392</v>
      </c>
      <c r="N37" s="235" t="s">
        <v>391</v>
      </c>
      <c r="O37" s="25"/>
      <c r="P37" s="25"/>
      <c r="Q37" s="25"/>
      <c r="R37" s="25"/>
      <c r="S37" s="25"/>
      <c r="T37" s="25"/>
    </row>
    <row r="38" spans="1:20" x14ac:dyDescent="0.45">
      <c r="A38" s="25"/>
      <c r="B38" s="231" t="s">
        <v>333</v>
      </c>
      <c r="C38" s="226" t="s">
        <v>114</v>
      </c>
      <c r="D38" s="7" t="s">
        <v>397</v>
      </c>
      <c r="E38" s="227" t="s">
        <v>333</v>
      </c>
      <c r="F38" s="238" t="s">
        <v>387</v>
      </c>
      <c r="G38" s="226">
        <v>1</v>
      </c>
      <c r="H38" s="7">
        <v>3</v>
      </c>
      <c r="I38" s="7" t="s">
        <v>392</v>
      </c>
      <c r="J38" s="7" t="s">
        <v>392</v>
      </c>
      <c r="K38" s="7" t="s">
        <v>392</v>
      </c>
      <c r="L38" s="7">
        <v>2</v>
      </c>
      <c r="M38" s="227">
        <v>3</v>
      </c>
      <c r="N38" s="235" t="s">
        <v>400</v>
      </c>
      <c r="O38" s="25"/>
      <c r="P38" s="25"/>
      <c r="Q38" s="25"/>
      <c r="R38" s="25"/>
      <c r="S38" s="25"/>
      <c r="T38" s="25"/>
    </row>
    <row r="39" spans="1:20" x14ac:dyDescent="0.45">
      <c r="A39" s="25"/>
      <c r="B39" s="231" t="s">
        <v>334</v>
      </c>
      <c r="C39" s="226" t="s">
        <v>114</v>
      </c>
      <c r="D39" s="7" t="s">
        <v>397</v>
      </c>
      <c r="E39" s="227" t="s">
        <v>334</v>
      </c>
      <c r="F39" s="238" t="s">
        <v>387</v>
      </c>
      <c r="G39" s="226">
        <v>5</v>
      </c>
      <c r="H39" s="7">
        <v>10</v>
      </c>
      <c r="I39" s="7" t="s">
        <v>392</v>
      </c>
      <c r="J39" s="7" t="s">
        <v>392</v>
      </c>
      <c r="K39" s="7" t="s">
        <v>392</v>
      </c>
      <c r="L39" s="7">
        <v>5</v>
      </c>
      <c r="M39" s="227">
        <v>10</v>
      </c>
      <c r="N39" s="235" t="s">
        <v>400</v>
      </c>
      <c r="O39" s="25"/>
      <c r="P39" s="25"/>
      <c r="Q39" s="25"/>
      <c r="R39" s="25"/>
      <c r="S39" s="25"/>
      <c r="T39" s="25"/>
    </row>
    <row r="40" spans="1:20" x14ac:dyDescent="0.45">
      <c r="A40" s="25"/>
      <c r="B40" s="231" t="s">
        <v>335</v>
      </c>
      <c r="C40" s="226" t="s">
        <v>390</v>
      </c>
      <c r="D40" s="7" t="s">
        <v>390</v>
      </c>
      <c r="E40" s="233" t="s">
        <v>391</v>
      </c>
      <c r="F40" s="238" t="s">
        <v>392</v>
      </c>
      <c r="G40" s="226" t="s">
        <v>392</v>
      </c>
      <c r="H40" s="7" t="s">
        <v>392</v>
      </c>
      <c r="I40" s="7" t="s">
        <v>392</v>
      </c>
      <c r="J40" s="7" t="s">
        <v>392</v>
      </c>
      <c r="K40" s="7">
        <v>0</v>
      </c>
      <c r="L40" s="7" t="s">
        <v>392</v>
      </c>
      <c r="M40" s="227" t="s">
        <v>392</v>
      </c>
      <c r="N40" s="235" t="s">
        <v>391</v>
      </c>
      <c r="O40" s="25"/>
      <c r="P40" s="25"/>
      <c r="Q40" s="25"/>
      <c r="R40" s="25"/>
      <c r="S40" s="25"/>
      <c r="T40" s="25"/>
    </row>
    <row r="41" spans="1:20" x14ac:dyDescent="0.45">
      <c r="A41" s="25"/>
      <c r="B41" s="231" t="s">
        <v>336</v>
      </c>
      <c r="C41" s="226" t="s">
        <v>114</v>
      </c>
      <c r="D41" s="7" t="s">
        <v>397</v>
      </c>
      <c r="E41" s="227" t="s">
        <v>336</v>
      </c>
      <c r="F41" s="238" t="s">
        <v>387</v>
      </c>
      <c r="G41" s="226">
        <v>15</v>
      </c>
      <c r="H41" s="7">
        <v>20</v>
      </c>
      <c r="I41" s="7" t="s">
        <v>392</v>
      </c>
      <c r="J41" s="7" t="s">
        <v>392</v>
      </c>
      <c r="K41" s="7" t="s">
        <v>392</v>
      </c>
      <c r="L41" s="7">
        <v>15</v>
      </c>
      <c r="M41" s="227">
        <v>20</v>
      </c>
      <c r="N41" s="235" t="s">
        <v>400</v>
      </c>
      <c r="O41" s="25"/>
      <c r="P41" s="25"/>
      <c r="Q41" s="25"/>
      <c r="R41" s="25"/>
      <c r="S41" s="25"/>
      <c r="T41" s="25"/>
    </row>
    <row r="42" spans="1:20" x14ac:dyDescent="0.45">
      <c r="A42" s="25"/>
      <c r="B42" s="231" t="s">
        <v>337</v>
      </c>
      <c r="C42" s="226" t="s">
        <v>390</v>
      </c>
      <c r="D42" s="7" t="s">
        <v>390</v>
      </c>
      <c r="E42" s="233" t="s">
        <v>391</v>
      </c>
      <c r="F42" s="238" t="s">
        <v>392</v>
      </c>
      <c r="G42" s="226" t="s">
        <v>392</v>
      </c>
      <c r="H42" s="7" t="s">
        <v>392</v>
      </c>
      <c r="I42" s="7" t="s">
        <v>392</v>
      </c>
      <c r="J42" s="7" t="s">
        <v>392</v>
      </c>
      <c r="K42" s="7">
        <v>0</v>
      </c>
      <c r="L42" s="7" t="s">
        <v>392</v>
      </c>
      <c r="M42" s="227" t="s">
        <v>392</v>
      </c>
      <c r="N42" s="235" t="s">
        <v>391</v>
      </c>
      <c r="O42" s="25"/>
      <c r="P42" s="25"/>
      <c r="Q42" s="25"/>
      <c r="R42" s="25"/>
      <c r="S42" s="25"/>
      <c r="T42" s="25"/>
    </row>
    <row r="43" spans="1:20" x14ac:dyDescent="0.45">
      <c r="A43" s="25"/>
      <c r="B43" s="231" t="s">
        <v>342</v>
      </c>
      <c r="C43" s="336" t="s">
        <v>389</v>
      </c>
      <c r="D43" s="9" t="s">
        <v>389</v>
      </c>
      <c r="E43" s="227" t="s">
        <v>334</v>
      </c>
      <c r="F43" s="238" t="s">
        <v>392</v>
      </c>
      <c r="G43" s="226" t="s">
        <v>392</v>
      </c>
      <c r="H43" s="7" t="s">
        <v>392</v>
      </c>
      <c r="I43" s="7" t="s">
        <v>392</v>
      </c>
      <c r="J43" s="7">
        <v>1</v>
      </c>
      <c r="K43" s="7" t="s">
        <v>392</v>
      </c>
      <c r="L43" s="7" t="s">
        <v>392</v>
      </c>
      <c r="M43" s="7" t="s">
        <v>392</v>
      </c>
      <c r="N43" s="235" t="s">
        <v>405</v>
      </c>
      <c r="O43" s="25"/>
      <c r="P43" s="25"/>
      <c r="Q43" s="25"/>
      <c r="R43" s="25"/>
      <c r="S43" s="25"/>
      <c r="T43" s="25"/>
    </row>
    <row r="44" spans="1:20" x14ac:dyDescent="0.45">
      <c r="A44" s="25"/>
      <c r="B44" s="231" t="s">
        <v>339</v>
      </c>
      <c r="C44" s="226" t="s">
        <v>114</v>
      </c>
      <c r="D44" s="7" t="s">
        <v>397</v>
      </c>
      <c r="E44" s="227" t="s">
        <v>339</v>
      </c>
      <c r="F44" s="238" t="s">
        <v>387</v>
      </c>
      <c r="G44" s="226">
        <v>3</v>
      </c>
      <c r="H44" s="7">
        <v>5</v>
      </c>
      <c r="I44" s="7" t="s">
        <v>392</v>
      </c>
      <c r="J44" s="7" t="s">
        <v>392</v>
      </c>
      <c r="K44" s="7" t="s">
        <v>392</v>
      </c>
      <c r="L44" s="7">
        <v>2</v>
      </c>
      <c r="M44" s="227">
        <v>5</v>
      </c>
      <c r="N44" s="235" t="s">
        <v>400</v>
      </c>
      <c r="O44" s="25"/>
      <c r="P44" s="25"/>
      <c r="Q44" s="25"/>
      <c r="R44" s="25"/>
      <c r="S44" s="25"/>
      <c r="T44" s="25"/>
    </row>
    <row r="45" spans="1:20" x14ac:dyDescent="0.45">
      <c r="A45" s="25"/>
      <c r="B45" s="231" t="s">
        <v>340</v>
      </c>
      <c r="C45" s="226" t="s">
        <v>114</v>
      </c>
      <c r="D45" s="7" t="s">
        <v>397</v>
      </c>
      <c r="E45" s="227" t="s">
        <v>340</v>
      </c>
      <c r="F45" s="238" t="s">
        <v>387</v>
      </c>
      <c r="G45" s="226">
        <v>3</v>
      </c>
      <c r="H45" s="7">
        <v>5</v>
      </c>
      <c r="I45" s="7" t="s">
        <v>392</v>
      </c>
      <c r="J45" s="7" t="s">
        <v>392</v>
      </c>
      <c r="K45" s="7" t="s">
        <v>392</v>
      </c>
      <c r="L45" s="7">
        <v>2</v>
      </c>
      <c r="M45" s="227">
        <v>5</v>
      </c>
      <c r="N45" s="235" t="s">
        <v>400</v>
      </c>
      <c r="O45" s="25"/>
      <c r="P45" s="25"/>
      <c r="Q45" s="25"/>
      <c r="R45" s="25"/>
      <c r="S45" s="25"/>
      <c r="T45" s="25"/>
    </row>
    <row r="46" spans="1:20" x14ac:dyDescent="0.45">
      <c r="A46" s="25"/>
      <c r="B46" s="231" t="s">
        <v>341</v>
      </c>
      <c r="C46" s="336" t="s">
        <v>389</v>
      </c>
      <c r="D46" s="9" t="s">
        <v>389</v>
      </c>
      <c r="E46" s="233" t="s">
        <v>391</v>
      </c>
      <c r="F46" s="238" t="s">
        <v>392</v>
      </c>
      <c r="G46" s="226" t="s">
        <v>392</v>
      </c>
      <c r="H46" s="7" t="s">
        <v>392</v>
      </c>
      <c r="I46" s="7" t="s">
        <v>392</v>
      </c>
      <c r="J46" s="7">
        <v>1</v>
      </c>
      <c r="K46" s="7" t="s">
        <v>392</v>
      </c>
      <c r="L46" s="7" t="s">
        <v>392</v>
      </c>
      <c r="M46" s="227" t="s">
        <v>392</v>
      </c>
      <c r="N46" s="235" t="s">
        <v>391</v>
      </c>
      <c r="O46" s="25"/>
      <c r="P46" s="25"/>
      <c r="Q46" s="25"/>
      <c r="R46" s="25"/>
      <c r="S46" s="25"/>
      <c r="T46" s="25"/>
    </row>
    <row r="47" spans="1:20" x14ac:dyDescent="0.45">
      <c r="A47" s="25"/>
      <c r="B47" s="231" t="s">
        <v>338</v>
      </c>
      <c r="C47" s="226" t="s">
        <v>114</v>
      </c>
      <c r="D47" s="7" t="s">
        <v>397</v>
      </c>
      <c r="E47" s="227" t="s">
        <v>406</v>
      </c>
      <c r="F47" s="238" t="s">
        <v>387</v>
      </c>
      <c r="G47" s="226">
        <v>3</v>
      </c>
      <c r="H47" s="7">
        <v>5</v>
      </c>
      <c r="I47" s="7" t="s">
        <v>392</v>
      </c>
      <c r="J47" s="7" t="s">
        <v>392</v>
      </c>
      <c r="K47" s="7" t="s">
        <v>392</v>
      </c>
      <c r="L47" s="7">
        <v>2</v>
      </c>
      <c r="M47" s="227">
        <v>10</v>
      </c>
      <c r="N47" s="235" t="s">
        <v>407</v>
      </c>
      <c r="O47" s="25"/>
      <c r="P47" s="25"/>
      <c r="Q47" s="25"/>
      <c r="R47" s="25"/>
      <c r="S47" s="25"/>
      <c r="T47" s="25"/>
    </row>
    <row r="48" spans="1:20" x14ac:dyDescent="0.45">
      <c r="A48" s="25"/>
      <c r="B48" s="231" t="s">
        <v>343</v>
      </c>
      <c r="C48" s="336" t="s">
        <v>389</v>
      </c>
      <c r="D48" s="9" t="s">
        <v>389</v>
      </c>
      <c r="E48" s="233" t="s">
        <v>391</v>
      </c>
      <c r="F48" s="238" t="s">
        <v>392</v>
      </c>
      <c r="G48" s="226" t="s">
        <v>392</v>
      </c>
      <c r="H48" s="7" t="s">
        <v>392</v>
      </c>
      <c r="I48" s="7" t="s">
        <v>392</v>
      </c>
      <c r="J48" s="7">
        <v>1</v>
      </c>
      <c r="K48" s="7" t="s">
        <v>392</v>
      </c>
      <c r="L48" s="7" t="s">
        <v>392</v>
      </c>
      <c r="M48" s="227" t="s">
        <v>392</v>
      </c>
      <c r="N48" s="235" t="s">
        <v>391</v>
      </c>
      <c r="O48" s="25"/>
      <c r="P48" s="25"/>
      <c r="Q48" s="25"/>
      <c r="R48" s="25"/>
      <c r="S48" s="25"/>
      <c r="T48" s="25"/>
    </row>
    <row r="49" spans="1:20" x14ac:dyDescent="0.45">
      <c r="A49" s="25"/>
      <c r="B49" s="231" t="s">
        <v>344</v>
      </c>
      <c r="C49" s="226" t="s">
        <v>114</v>
      </c>
      <c r="D49" s="7" t="s">
        <v>397</v>
      </c>
      <c r="E49" s="227" t="s">
        <v>344</v>
      </c>
      <c r="F49" s="238" t="s">
        <v>387</v>
      </c>
      <c r="G49" s="226">
        <v>3</v>
      </c>
      <c r="H49" s="7">
        <v>5</v>
      </c>
      <c r="I49" s="7" t="s">
        <v>392</v>
      </c>
      <c r="J49" s="7" t="s">
        <v>392</v>
      </c>
      <c r="K49" s="7" t="s">
        <v>392</v>
      </c>
      <c r="L49" s="7">
        <v>1</v>
      </c>
      <c r="M49" s="227">
        <v>1</v>
      </c>
      <c r="N49" s="235" t="s">
        <v>400</v>
      </c>
      <c r="O49" s="25"/>
      <c r="P49" s="25"/>
      <c r="Q49" s="25"/>
      <c r="R49" s="25"/>
      <c r="S49" s="25"/>
      <c r="T49" s="25"/>
    </row>
    <row r="50" spans="1:20" x14ac:dyDescent="0.45">
      <c r="A50" s="25"/>
      <c r="B50" s="231" t="s">
        <v>345</v>
      </c>
      <c r="C50" s="336" t="s">
        <v>389</v>
      </c>
      <c r="D50" s="9" t="s">
        <v>389</v>
      </c>
      <c r="E50" s="227" t="s">
        <v>327</v>
      </c>
      <c r="F50" s="238" t="s">
        <v>392</v>
      </c>
      <c r="G50" s="226" t="s">
        <v>392</v>
      </c>
      <c r="H50" s="7" t="s">
        <v>392</v>
      </c>
      <c r="I50" s="7" t="s">
        <v>392</v>
      </c>
      <c r="J50" s="7">
        <v>1</v>
      </c>
      <c r="K50" s="7" t="s">
        <v>392</v>
      </c>
      <c r="L50" s="7" t="s">
        <v>392</v>
      </c>
      <c r="M50" s="227" t="s">
        <v>392</v>
      </c>
      <c r="N50" s="235" t="s">
        <v>408</v>
      </c>
      <c r="O50" s="25"/>
      <c r="P50" s="25"/>
      <c r="Q50" s="25"/>
      <c r="R50" s="25"/>
      <c r="S50" s="25"/>
      <c r="T50" s="25"/>
    </row>
    <row r="51" spans="1:20" x14ac:dyDescent="0.45">
      <c r="A51" s="25"/>
      <c r="B51" s="231" t="s">
        <v>94</v>
      </c>
      <c r="C51" s="226" t="s">
        <v>114</v>
      </c>
      <c r="D51" s="7" t="s">
        <v>397</v>
      </c>
      <c r="E51" s="231" t="s">
        <v>94</v>
      </c>
      <c r="F51" s="238" t="s">
        <v>387</v>
      </c>
      <c r="G51" s="226">
        <v>27</v>
      </c>
      <c r="H51" s="7" t="s">
        <v>409</v>
      </c>
      <c r="I51" s="7" t="s">
        <v>392</v>
      </c>
      <c r="J51" s="7" t="s">
        <v>392</v>
      </c>
      <c r="K51" s="7" t="s">
        <v>392</v>
      </c>
      <c r="L51" s="7">
        <v>16</v>
      </c>
      <c r="M51" s="227" t="s">
        <v>392</v>
      </c>
      <c r="N51" s="235" t="s">
        <v>391</v>
      </c>
      <c r="O51" s="25"/>
      <c r="P51" s="25"/>
      <c r="Q51" s="25"/>
      <c r="R51" s="25"/>
      <c r="S51" s="25"/>
      <c r="T51" s="25"/>
    </row>
    <row r="52" spans="1:20" x14ac:dyDescent="0.45">
      <c r="A52" s="25"/>
      <c r="B52" s="231" t="s">
        <v>346</v>
      </c>
      <c r="C52" s="226" t="s">
        <v>114</v>
      </c>
      <c r="D52" s="7" t="s">
        <v>397</v>
      </c>
      <c r="E52" s="227" t="s">
        <v>346</v>
      </c>
      <c r="F52" s="238" t="s">
        <v>387</v>
      </c>
      <c r="G52" s="226">
        <v>3</v>
      </c>
      <c r="H52" s="7">
        <v>5</v>
      </c>
      <c r="I52" s="7" t="s">
        <v>392</v>
      </c>
      <c r="J52" s="7" t="s">
        <v>392</v>
      </c>
      <c r="K52" s="7" t="s">
        <v>392</v>
      </c>
      <c r="L52" s="7">
        <v>2</v>
      </c>
      <c r="M52" s="227">
        <v>5</v>
      </c>
      <c r="N52" s="235" t="s">
        <v>400</v>
      </c>
      <c r="O52" s="25"/>
      <c r="P52" s="25"/>
      <c r="Q52" s="25"/>
      <c r="R52" s="25"/>
      <c r="S52" s="25"/>
      <c r="T52" s="25"/>
    </row>
    <row r="53" spans="1:20" x14ac:dyDescent="0.45">
      <c r="A53" s="25"/>
      <c r="B53" s="231" t="s">
        <v>347</v>
      </c>
      <c r="C53" s="226" t="s">
        <v>390</v>
      </c>
      <c r="D53" s="7" t="s">
        <v>390</v>
      </c>
      <c r="E53" s="233" t="s">
        <v>391</v>
      </c>
      <c r="F53" s="238" t="s">
        <v>392</v>
      </c>
      <c r="G53" s="226" t="s">
        <v>392</v>
      </c>
      <c r="H53" s="7" t="s">
        <v>392</v>
      </c>
      <c r="I53" s="7" t="s">
        <v>392</v>
      </c>
      <c r="J53" s="7" t="s">
        <v>392</v>
      </c>
      <c r="K53" s="7">
        <v>0</v>
      </c>
      <c r="L53" s="7" t="s">
        <v>392</v>
      </c>
      <c r="M53" s="227" t="s">
        <v>392</v>
      </c>
      <c r="N53" s="235" t="s">
        <v>391</v>
      </c>
      <c r="O53" s="25"/>
      <c r="P53" s="25"/>
      <c r="Q53" s="25"/>
      <c r="R53" s="25"/>
      <c r="S53" s="25"/>
      <c r="T53" s="25"/>
    </row>
    <row r="54" spans="1:20" x14ac:dyDescent="0.45">
      <c r="A54" s="25"/>
      <c r="B54" s="231" t="s">
        <v>348</v>
      </c>
      <c r="C54" s="226" t="s">
        <v>114</v>
      </c>
      <c r="D54" s="7" t="s">
        <v>397</v>
      </c>
      <c r="E54" s="227" t="s">
        <v>348</v>
      </c>
      <c r="F54" s="238" t="s">
        <v>387</v>
      </c>
      <c r="G54" s="226">
        <v>3</v>
      </c>
      <c r="H54" s="7">
        <v>5</v>
      </c>
      <c r="I54" s="7" t="s">
        <v>392</v>
      </c>
      <c r="J54" s="7" t="s">
        <v>392</v>
      </c>
      <c r="K54" s="7" t="s">
        <v>392</v>
      </c>
      <c r="L54" s="7">
        <v>1</v>
      </c>
      <c r="M54" s="227">
        <v>1</v>
      </c>
      <c r="N54" s="235" t="s">
        <v>400</v>
      </c>
      <c r="O54" s="25"/>
      <c r="P54" s="25"/>
      <c r="Q54" s="25"/>
      <c r="R54" s="25"/>
      <c r="S54" s="25"/>
      <c r="T54" s="25"/>
    </row>
    <row r="55" spans="1:20" x14ac:dyDescent="0.45">
      <c r="A55" s="25"/>
      <c r="B55" s="231" t="s">
        <v>349</v>
      </c>
      <c r="C55" s="336" t="s">
        <v>389</v>
      </c>
      <c r="D55" s="9" t="s">
        <v>389</v>
      </c>
      <c r="E55" s="233" t="s">
        <v>391</v>
      </c>
      <c r="F55" s="238" t="s">
        <v>392</v>
      </c>
      <c r="G55" s="226" t="s">
        <v>392</v>
      </c>
      <c r="H55" s="7" t="s">
        <v>392</v>
      </c>
      <c r="I55" s="7" t="s">
        <v>392</v>
      </c>
      <c r="J55" s="7">
        <v>1</v>
      </c>
      <c r="K55" s="7" t="s">
        <v>392</v>
      </c>
      <c r="L55" s="7">
        <v>2</v>
      </c>
      <c r="M55" s="227">
        <v>5</v>
      </c>
      <c r="N55" s="235" t="s">
        <v>400</v>
      </c>
      <c r="O55" s="25"/>
      <c r="P55" s="25"/>
      <c r="Q55" s="25"/>
      <c r="R55" s="25"/>
      <c r="S55" s="25"/>
      <c r="T55" s="25"/>
    </row>
    <row r="56" spans="1:20" x14ac:dyDescent="0.45">
      <c r="A56" s="25"/>
      <c r="B56" s="231" t="s">
        <v>350</v>
      </c>
      <c r="C56" s="226" t="s">
        <v>114</v>
      </c>
      <c r="D56" s="7" t="s">
        <v>397</v>
      </c>
      <c r="E56" s="238" t="s">
        <v>350</v>
      </c>
      <c r="F56" s="238" t="s">
        <v>387</v>
      </c>
      <c r="G56" s="226">
        <v>3</v>
      </c>
      <c r="H56" s="7">
        <v>5</v>
      </c>
      <c r="I56" s="7" t="s">
        <v>392</v>
      </c>
      <c r="J56" s="7" t="s">
        <v>392</v>
      </c>
      <c r="K56" s="7" t="s">
        <v>392</v>
      </c>
      <c r="L56" s="7">
        <v>1</v>
      </c>
      <c r="M56" s="227">
        <v>1</v>
      </c>
      <c r="N56" s="235" t="s">
        <v>400</v>
      </c>
      <c r="O56" s="25"/>
      <c r="P56" s="25"/>
      <c r="Q56" s="25"/>
      <c r="R56" s="25"/>
      <c r="S56" s="25"/>
      <c r="T56" s="25"/>
    </row>
    <row r="57" spans="1:20" x14ac:dyDescent="0.45">
      <c r="A57" s="25"/>
      <c r="B57" s="231" t="s">
        <v>351</v>
      </c>
      <c r="C57" s="226" t="s">
        <v>114</v>
      </c>
      <c r="D57" s="7" t="s">
        <v>397</v>
      </c>
      <c r="E57" s="227" t="s">
        <v>410</v>
      </c>
      <c r="F57" s="238" t="s">
        <v>387</v>
      </c>
      <c r="G57" s="226">
        <v>30</v>
      </c>
      <c r="H57" s="7" t="s">
        <v>409</v>
      </c>
      <c r="I57" s="7" t="s">
        <v>392</v>
      </c>
      <c r="J57" s="7" t="s">
        <v>392</v>
      </c>
      <c r="K57" s="7" t="s">
        <v>392</v>
      </c>
      <c r="L57" s="7" t="s">
        <v>409</v>
      </c>
      <c r="M57" s="227" t="s">
        <v>392</v>
      </c>
      <c r="N57" s="235" t="s">
        <v>411</v>
      </c>
      <c r="O57" s="25"/>
      <c r="P57" s="25"/>
      <c r="Q57" s="25"/>
      <c r="R57" s="25"/>
      <c r="S57" s="25"/>
      <c r="T57" s="25"/>
    </row>
    <row r="58" spans="1:20" x14ac:dyDescent="0.45">
      <c r="A58" s="25"/>
      <c r="B58" s="231" t="s">
        <v>352</v>
      </c>
      <c r="C58" s="226" t="s">
        <v>114</v>
      </c>
      <c r="D58" s="7" t="s">
        <v>397</v>
      </c>
      <c r="E58" s="227" t="s">
        <v>352</v>
      </c>
      <c r="F58" s="238" t="s">
        <v>387</v>
      </c>
      <c r="G58" s="226" t="s">
        <v>409</v>
      </c>
      <c r="H58" s="7" t="s">
        <v>409</v>
      </c>
      <c r="I58" s="7" t="s">
        <v>392</v>
      </c>
      <c r="J58" s="7" t="s">
        <v>392</v>
      </c>
      <c r="K58" s="7" t="s">
        <v>392</v>
      </c>
      <c r="L58" s="7">
        <v>15</v>
      </c>
      <c r="M58" s="227" t="s">
        <v>409</v>
      </c>
      <c r="N58" s="235" t="s">
        <v>400</v>
      </c>
      <c r="O58" s="25"/>
      <c r="P58" s="25"/>
      <c r="Q58" s="25"/>
      <c r="R58" s="25"/>
      <c r="S58" s="25"/>
      <c r="T58" s="25"/>
    </row>
    <row r="59" spans="1:20" x14ac:dyDescent="0.45">
      <c r="A59" s="25"/>
      <c r="B59" s="231" t="s">
        <v>353</v>
      </c>
      <c r="C59" s="226" t="s">
        <v>114</v>
      </c>
      <c r="D59" s="7" t="s">
        <v>397</v>
      </c>
      <c r="E59" s="227" t="s">
        <v>353</v>
      </c>
      <c r="F59" s="238" t="s">
        <v>387</v>
      </c>
      <c r="G59" s="226">
        <v>15</v>
      </c>
      <c r="H59" s="7" t="s">
        <v>409</v>
      </c>
      <c r="I59" s="7" t="s">
        <v>392</v>
      </c>
      <c r="J59" s="7" t="s">
        <v>392</v>
      </c>
      <c r="K59" s="7" t="s">
        <v>392</v>
      </c>
      <c r="L59" s="7">
        <v>10</v>
      </c>
      <c r="M59" s="227">
        <v>25</v>
      </c>
      <c r="N59" s="235" t="s">
        <v>400</v>
      </c>
      <c r="O59" s="25"/>
      <c r="P59" s="25"/>
      <c r="Q59" s="25"/>
      <c r="R59" s="25"/>
      <c r="S59" s="25"/>
      <c r="T59" s="25"/>
    </row>
    <row r="60" spans="1:20" x14ac:dyDescent="0.45">
      <c r="A60" s="25"/>
      <c r="B60" s="231" t="s">
        <v>354</v>
      </c>
      <c r="C60" s="226" t="s">
        <v>114</v>
      </c>
      <c r="D60" s="7" t="s">
        <v>397</v>
      </c>
      <c r="E60" s="227" t="s">
        <v>354</v>
      </c>
      <c r="F60" s="238" t="s">
        <v>387</v>
      </c>
      <c r="G60" s="226">
        <v>30</v>
      </c>
      <c r="H60" s="7" t="s">
        <v>409</v>
      </c>
      <c r="I60" s="7" t="s">
        <v>392</v>
      </c>
      <c r="J60" s="7" t="s">
        <v>392</v>
      </c>
      <c r="K60" s="7" t="s">
        <v>392</v>
      </c>
      <c r="L60" s="7">
        <v>10</v>
      </c>
      <c r="M60" s="227">
        <v>25</v>
      </c>
      <c r="N60" s="235" t="s">
        <v>400</v>
      </c>
      <c r="O60" s="25"/>
      <c r="P60" s="25"/>
      <c r="Q60" s="25"/>
      <c r="R60" s="25"/>
      <c r="S60" s="25"/>
      <c r="T60" s="25"/>
    </row>
    <row r="61" spans="1:20" x14ac:dyDescent="0.45">
      <c r="A61" s="25"/>
      <c r="B61" s="231" t="s">
        <v>355</v>
      </c>
      <c r="C61" s="226" t="s">
        <v>114</v>
      </c>
      <c r="D61" s="7" t="s">
        <v>397</v>
      </c>
      <c r="E61" s="227" t="s">
        <v>355</v>
      </c>
      <c r="F61" s="238" t="s">
        <v>387</v>
      </c>
      <c r="G61" s="226">
        <v>1</v>
      </c>
      <c r="H61" s="7">
        <v>3</v>
      </c>
      <c r="I61" s="7" t="s">
        <v>392</v>
      </c>
      <c r="J61" s="7" t="s">
        <v>392</v>
      </c>
      <c r="K61" s="7" t="s">
        <v>392</v>
      </c>
      <c r="L61" s="7">
        <v>2</v>
      </c>
      <c r="M61" s="227" t="s">
        <v>392</v>
      </c>
      <c r="N61" s="235" t="s">
        <v>400</v>
      </c>
      <c r="O61" s="25"/>
      <c r="P61" s="25"/>
      <c r="Q61" s="25"/>
      <c r="R61" s="25"/>
      <c r="S61" s="25"/>
      <c r="T61" s="25"/>
    </row>
    <row r="62" spans="1:20" x14ac:dyDescent="0.45">
      <c r="A62" s="25"/>
      <c r="B62" s="231" t="s">
        <v>356</v>
      </c>
      <c r="C62" s="226" t="s">
        <v>114</v>
      </c>
      <c r="D62" s="7" t="s">
        <v>397</v>
      </c>
      <c r="E62" s="227" t="s">
        <v>356</v>
      </c>
      <c r="F62" s="238" t="s">
        <v>387</v>
      </c>
      <c r="G62" s="226">
        <v>7</v>
      </c>
      <c r="H62" s="7">
        <v>15</v>
      </c>
      <c r="I62" s="7" t="s">
        <v>392</v>
      </c>
      <c r="J62" s="7" t="s">
        <v>392</v>
      </c>
      <c r="K62" s="7" t="s">
        <v>392</v>
      </c>
      <c r="L62" s="7">
        <v>14</v>
      </c>
      <c r="M62" s="227" t="s">
        <v>392</v>
      </c>
      <c r="N62" s="235" t="s">
        <v>400</v>
      </c>
      <c r="O62" s="25"/>
      <c r="P62" s="25"/>
      <c r="Q62" s="25"/>
      <c r="R62" s="25"/>
      <c r="S62" s="25"/>
      <c r="T62" s="25"/>
    </row>
    <row r="63" spans="1:20" x14ac:dyDescent="0.45">
      <c r="A63" s="25"/>
      <c r="B63" s="231" t="s">
        <v>357</v>
      </c>
      <c r="C63" s="226" t="s">
        <v>114</v>
      </c>
      <c r="D63" s="7" t="s">
        <v>397</v>
      </c>
      <c r="E63" s="227" t="s">
        <v>357</v>
      </c>
      <c r="F63" s="238" t="s">
        <v>387</v>
      </c>
      <c r="G63" s="226">
        <v>1</v>
      </c>
      <c r="H63" s="7">
        <v>3</v>
      </c>
      <c r="I63" s="7" t="s">
        <v>392</v>
      </c>
      <c r="J63" s="7" t="s">
        <v>392</v>
      </c>
      <c r="K63" s="7" t="s">
        <v>392</v>
      </c>
      <c r="L63" s="7">
        <v>2</v>
      </c>
      <c r="M63" s="227" t="s">
        <v>392</v>
      </c>
      <c r="N63" s="235" t="s">
        <v>400</v>
      </c>
      <c r="O63" s="25"/>
      <c r="P63" s="25"/>
      <c r="Q63" s="25"/>
      <c r="R63" s="25"/>
      <c r="S63" s="25"/>
      <c r="T63" s="25"/>
    </row>
    <row r="64" spans="1:20" x14ac:dyDescent="0.45">
      <c r="A64" s="25"/>
      <c r="B64" s="231" t="s">
        <v>358</v>
      </c>
      <c r="C64" s="226" t="s">
        <v>114</v>
      </c>
      <c r="D64" s="7" t="s">
        <v>397</v>
      </c>
      <c r="E64" s="227" t="s">
        <v>358</v>
      </c>
      <c r="F64" s="238" t="s">
        <v>387</v>
      </c>
      <c r="G64" s="226">
        <v>3</v>
      </c>
      <c r="H64" s="7">
        <v>6</v>
      </c>
      <c r="I64" s="7" t="s">
        <v>392</v>
      </c>
      <c r="J64" s="7" t="s">
        <v>392</v>
      </c>
      <c r="K64" s="7" t="s">
        <v>392</v>
      </c>
      <c r="L64" s="7">
        <v>4</v>
      </c>
      <c r="M64" s="227" t="s">
        <v>392</v>
      </c>
      <c r="N64" s="235" t="s">
        <v>400</v>
      </c>
      <c r="O64" s="25"/>
      <c r="P64" s="25"/>
      <c r="Q64" s="25"/>
      <c r="R64" s="25"/>
      <c r="S64" s="25"/>
      <c r="T64" s="25"/>
    </row>
    <row r="65" spans="1:20" x14ac:dyDescent="0.45">
      <c r="A65" s="25"/>
      <c r="B65" s="231" t="s">
        <v>359</v>
      </c>
      <c r="C65" s="226" t="s">
        <v>114</v>
      </c>
      <c r="D65" s="7" t="s">
        <v>397</v>
      </c>
      <c r="E65" s="227" t="s">
        <v>359</v>
      </c>
      <c r="F65" s="238" t="s">
        <v>387</v>
      </c>
      <c r="G65" s="226">
        <v>1</v>
      </c>
      <c r="H65" s="7">
        <v>4</v>
      </c>
      <c r="I65" s="7" t="s">
        <v>392</v>
      </c>
      <c r="J65" s="7" t="s">
        <v>392</v>
      </c>
      <c r="K65" s="7" t="s">
        <v>392</v>
      </c>
      <c r="L65" s="7">
        <v>3</v>
      </c>
      <c r="M65" s="227" t="s">
        <v>392</v>
      </c>
      <c r="N65" s="235" t="s">
        <v>400</v>
      </c>
      <c r="O65" s="25"/>
      <c r="P65" s="25"/>
      <c r="Q65" s="25"/>
      <c r="R65" s="25"/>
      <c r="S65" s="25"/>
      <c r="T65" s="25"/>
    </row>
    <row r="66" spans="1:20" x14ac:dyDescent="0.45">
      <c r="A66" s="25"/>
      <c r="B66" s="231" t="s">
        <v>360</v>
      </c>
      <c r="C66" s="226" t="s">
        <v>114</v>
      </c>
      <c r="D66" s="7" t="s">
        <v>397</v>
      </c>
      <c r="E66" s="227" t="s">
        <v>360</v>
      </c>
      <c r="F66" s="238" t="s">
        <v>387</v>
      </c>
      <c r="G66" s="226">
        <v>3</v>
      </c>
      <c r="H66" s="7">
        <v>5</v>
      </c>
      <c r="I66" s="7" t="s">
        <v>392</v>
      </c>
      <c r="J66" s="7" t="s">
        <v>392</v>
      </c>
      <c r="K66" s="7" t="s">
        <v>392</v>
      </c>
      <c r="L66" s="7">
        <v>4</v>
      </c>
      <c r="M66" s="227" t="s">
        <v>392</v>
      </c>
      <c r="N66" s="235" t="s">
        <v>400</v>
      </c>
      <c r="O66" s="25"/>
      <c r="P66" s="25"/>
      <c r="Q66" s="25"/>
      <c r="R66" s="25"/>
      <c r="S66" s="25"/>
      <c r="T66" s="25"/>
    </row>
    <row r="67" spans="1:20" x14ac:dyDescent="0.45">
      <c r="A67" s="25"/>
      <c r="B67" s="231" t="s">
        <v>361</v>
      </c>
      <c r="C67" s="226" t="s">
        <v>114</v>
      </c>
      <c r="D67" s="7" t="s">
        <v>397</v>
      </c>
      <c r="E67" s="227" t="s">
        <v>361</v>
      </c>
      <c r="F67" s="238" t="s">
        <v>387</v>
      </c>
      <c r="G67" s="226">
        <v>3</v>
      </c>
      <c r="H67" s="7">
        <v>5</v>
      </c>
      <c r="I67" s="7" t="s">
        <v>392</v>
      </c>
      <c r="J67" s="7" t="s">
        <v>392</v>
      </c>
      <c r="K67" s="7" t="s">
        <v>392</v>
      </c>
      <c r="L67" s="7">
        <v>2</v>
      </c>
      <c r="M67" s="227" t="s">
        <v>392</v>
      </c>
      <c r="N67" s="235" t="s">
        <v>400</v>
      </c>
      <c r="O67" s="25"/>
      <c r="P67" s="25"/>
      <c r="Q67" s="25"/>
      <c r="R67" s="25"/>
      <c r="S67" s="25"/>
      <c r="T67" s="25"/>
    </row>
    <row r="68" spans="1:20" x14ac:dyDescent="0.45">
      <c r="A68" s="25"/>
      <c r="B68" s="231" t="s">
        <v>362</v>
      </c>
      <c r="C68" s="226" t="s">
        <v>114</v>
      </c>
      <c r="D68" s="7" t="s">
        <v>397</v>
      </c>
      <c r="E68" s="227" t="s">
        <v>362</v>
      </c>
      <c r="F68" s="238" t="s">
        <v>387</v>
      </c>
      <c r="G68" s="226">
        <v>10</v>
      </c>
      <c r="H68" s="7">
        <v>20</v>
      </c>
      <c r="I68" s="7" t="s">
        <v>392</v>
      </c>
      <c r="J68" s="7" t="s">
        <v>392</v>
      </c>
      <c r="K68" s="7" t="s">
        <v>392</v>
      </c>
      <c r="L68" s="7">
        <v>20</v>
      </c>
      <c r="M68" s="227" t="s">
        <v>392</v>
      </c>
      <c r="N68" s="235" t="s">
        <v>400</v>
      </c>
      <c r="O68" s="25"/>
      <c r="P68" s="25"/>
      <c r="Q68" s="25"/>
      <c r="R68" s="25"/>
      <c r="S68" s="25"/>
      <c r="T68" s="25"/>
    </row>
    <row r="69" spans="1:20" x14ac:dyDescent="0.45">
      <c r="A69" s="25"/>
      <c r="B69" s="231" t="s">
        <v>363</v>
      </c>
      <c r="C69" s="226" t="s">
        <v>114</v>
      </c>
      <c r="D69" s="7" t="s">
        <v>397</v>
      </c>
      <c r="E69" s="227" t="s">
        <v>363</v>
      </c>
      <c r="F69" s="238" t="s">
        <v>387</v>
      </c>
      <c r="G69" s="226">
        <v>5</v>
      </c>
      <c r="H69" s="7">
        <v>15</v>
      </c>
      <c r="I69" s="7" t="s">
        <v>392</v>
      </c>
      <c r="J69" s="7" t="s">
        <v>392</v>
      </c>
      <c r="K69" s="7" t="s">
        <v>392</v>
      </c>
      <c r="L69" s="7">
        <v>6</v>
      </c>
      <c r="M69" s="227" t="s">
        <v>392</v>
      </c>
      <c r="N69" s="235" t="s">
        <v>400</v>
      </c>
      <c r="O69" s="25"/>
      <c r="P69" s="25"/>
      <c r="Q69" s="25"/>
      <c r="R69" s="25"/>
      <c r="S69" s="25"/>
      <c r="T69" s="25"/>
    </row>
    <row r="70" spans="1:20" x14ac:dyDescent="0.45">
      <c r="A70" s="25"/>
      <c r="B70" s="231" t="s">
        <v>364</v>
      </c>
      <c r="C70" s="226" t="s">
        <v>114</v>
      </c>
      <c r="D70" s="7" t="s">
        <v>397</v>
      </c>
      <c r="E70" s="227" t="s">
        <v>364</v>
      </c>
      <c r="F70" s="238" t="s">
        <v>387</v>
      </c>
      <c r="G70" s="226">
        <v>1</v>
      </c>
      <c r="H70" s="7">
        <v>4</v>
      </c>
      <c r="I70" s="7" t="s">
        <v>392</v>
      </c>
      <c r="J70" s="7" t="s">
        <v>392</v>
      </c>
      <c r="K70" s="7" t="s">
        <v>392</v>
      </c>
      <c r="L70" s="7">
        <v>3</v>
      </c>
      <c r="M70" s="227" t="s">
        <v>392</v>
      </c>
      <c r="N70" s="235" t="s">
        <v>400</v>
      </c>
      <c r="O70" s="25"/>
      <c r="P70" s="25"/>
      <c r="Q70" s="25"/>
      <c r="R70" s="25"/>
      <c r="S70" s="25"/>
      <c r="T70" s="25"/>
    </row>
    <row r="71" spans="1:20" x14ac:dyDescent="0.45">
      <c r="A71" s="25"/>
      <c r="B71" s="231" t="s">
        <v>365</v>
      </c>
      <c r="C71" s="226" t="s">
        <v>114</v>
      </c>
      <c r="D71" s="7" t="s">
        <v>397</v>
      </c>
      <c r="E71" s="227" t="s">
        <v>412</v>
      </c>
      <c r="F71" s="238" t="s">
        <v>387</v>
      </c>
      <c r="G71" s="226">
        <v>5</v>
      </c>
      <c r="H71" s="7">
        <v>15</v>
      </c>
      <c r="I71" s="7" t="s">
        <v>392</v>
      </c>
      <c r="J71" s="7" t="s">
        <v>392</v>
      </c>
      <c r="K71" s="7" t="s">
        <v>392</v>
      </c>
      <c r="L71" s="7">
        <v>8</v>
      </c>
      <c r="M71" s="227" t="s">
        <v>392</v>
      </c>
      <c r="N71" s="235" t="s">
        <v>413</v>
      </c>
      <c r="O71" s="25"/>
      <c r="P71" s="25"/>
      <c r="Q71" s="25"/>
      <c r="R71" s="25"/>
      <c r="S71" s="25"/>
      <c r="T71" s="25"/>
    </row>
    <row r="72" spans="1:20" x14ac:dyDescent="0.45">
      <c r="A72" s="25"/>
      <c r="B72" s="231" t="s">
        <v>366</v>
      </c>
      <c r="C72" s="226" t="s">
        <v>114</v>
      </c>
      <c r="D72" s="7" t="s">
        <v>397</v>
      </c>
      <c r="E72" s="227" t="s">
        <v>414</v>
      </c>
      <c r="F72" s="238" t="s">
        <v>387</v>
      </c>
      <c r="G72" s="226">
        <v>4</v>
      </c>
      <c r="H72" s="7">
        <v>13</v>
      </c>
      <c r="I72" s="7" t="s">
        <v>392</v>
      </c>
      <c r="J72" s="7" t="s">
        <v>392</v>
      </c>
      <c r="K72" s="7" t="s">
        <v>392</v>
      </c>
      <c r="L72" s="7">
        <v>7</v>
      </c>
      <c r="M72" s="227" t="s">
        <v>392</v>
      </c>
      <c r="N72" s="235" t="s">
        <v>413</v>
      </c>
      <c r="O72" s="25"/>
      <c r="P72" s="25"/>
      <c r="Q72" s="25"/>
      <c r="R72" s="25"/>
      <c r="S72" s="25"/>
      <c r="T72" s="25"/>
    </row>
    <row r="73" spans="1:20" x14ac:dyDescent="0.45">
      <c r="A73" s="25"/>
      <c r="B73" s="231" t="s">
        <v>367</v>
      </c>
      <c r="C73" s="226" t="s">
        <v>114</v>
      </c>
      <c r="D73" s="7" t="s">
        <v>397</v>
      </c>
      <c r="E73" s="227" t="s">
        <v>367</v>
      </c>
      <c r="F73" s="238" t="s">
        <v>387</v>
      </c>
      <c r="G73" s="226">
        <v>4</v>
      </c>
      <c r="H73" s="7">
        <v>13</v>
      </c>
      <c r="I73" s="7" t="s">
        <v>392</v>
      </c>
      <c r="J73" s="7" t="s">
        <v>392</v>
      </c>
      <c r="K73" s="7" t="s">
        <v>392</v>
      </c>
      <c r="L73" s="7">
        <v>7</v>
      </c>
      <c r="M73" s="227">
        <v>13</v>
      </c>
      <c r="N73" s="235" t="s">
        <v>400</v>
      </c>
      <c r="O73" s="25"/>
      <c r="P73" s="25"/>
      <c r="Q73" s="25"/>
      <c r="R73" s="25"/>
      <c r="S73" s="25"/>
      <c r="T73" s="25"/>
    </row>
    <row r="74" spans="1:20" x14ac:dyDescent="0.45">
      <c r="A74" s="25"/>
      <c r="B74" s="231" t="s">
        <v>233</v>
      </c>
      <c r="C74" s="226" t="s">
        <v>114</v>
      </c>
      <c r="D74" s="7" t="s">
        <v>397</v>
      </c>
      <c r="E74" s="227" t="s">
        <v>233</v>
      </c>
      <c r="F74" s="238" t="s">
        <v>387</v>
      </c>
      <c r="G74" s="226">
        <v>5</v>
      </c>
      <c r="H74" s="7">
        <v>12</v>
      </c>
      <c r="I74" s="7" t="s">
        <v>392</v>
      </c>
      <c r="J74" s="7" t="s">
        <v>392</v>
      </c>
      <c r="K74" s="7" t="s">
        <v>392</v>
      </c>
      <c r="L74" s="7">
        <v>2</v>
      </c>
      <c r="M74" s="233">
        <v>5</v>
      </c>
      <c r="N74" s="235" t="s">
        <v>400</v>
      </c>
      <c r="O74" s="25"/>
      <c r="P74" s="25"/>
      <c r="Q74" s="25"/>
      <c r="R74" s="25"/>
      <c r="S74" s="25"/>
      <c r="T74" s="25"/>
    </row>
    <row r="75" spans="1:20" x14ac:dyDescent="0.45">
      <c r="A75" s="25"/>
      <c r="B75" s="231" t="s">
        <v>234</v>
      </c>
      <c r="C75" s="226" t="s">
        <v>114</v>
      </c>
      <c r="D75" s="7" t="s">
        <v>397</v>
      </c>
      <c r="E75" s="227" t="s">
        <v>234</v>
      </c>
      <c r="F75" s="238" t="s">
        <v>387</v>
      </c>
      <c r="G75" s="226">
        <v>5</v>
      </c>
      <c r="H75" s="7">
        <v>12</v>
      </c>
      <c r="I75" s="7" t="s">
        <v>392</v>
      </c>
      <c r="J75" s="7" t="s">
        <v>392</v>
      </c>
      <c r="K75" s="7" t="s">
        <v>392</v>
      </c>
      <c r="L75" s="7">
        <v>2</v>
      </c>
      <c r="M75" s="233">
        <v>6</v>
      </c>
      <c r="N75" s="235" t="s">
        <v>400</v>
      </c>
      <c r="O75" s="25"/>
      <c r="P75" s="25"/>
      <c r="Q75" s="25"/>
      <c r="R75" s="25"/>
      <c r="S75" s="25"/>
      <c r="T75" s="25"/>
    </row>
    <row r="76" spans="1:20" x14ac:dyDescent="0.45">
      <c r="A76" s="25"/>
      <c r="B76" s="231" t="s">
        <v>235</v>
      </c>
      <c r="C76" s="226" t="s">
        <v>114</v>
      </c>
      <c r="D76" s="7" t="s">
        <v>397</v>
      </c>
      <c r="E76" s="227" t="s">
        <v>235</v>
      </c>
      <c r="F76" s="238" t="s">
        <v>387</v>
      </c>
      <c r="G76" s="226">
        <v>10</v>
      </c>
      <c r="H76" s="7">
        <v>20</v>
      </c>
      <c r="I76" s="7" t="s">
        <v>392</v>
      </c>
      <c r="J76" s="7" t="s">
        <v>392</v>
      </c>
      <c r="K76" s="7" t="s">
        <v>392</v>
      </c>
      <c r="L76" s="7">
        <v>4</v>
      </c>
      <c r="M76" s="233">
        <v>12</v>
      </c>
      <c r="N76" s="235" t="s">
        <v>400</v>
      </c>
      <c r="O76" s="25"/>
      <c r="P76" s="25"/>
      <c r="Q76" s="25"/>
      <c r="R76" s="25"/>
      <c r="S76" s="25"/>
      <c r="T76" s="25"/>
    </row>
    <row r="77" spans="1:20" x14ac:dyDescent="0.45">
      <c r="A77" s="25"/>
      <c r="B77" s="231" t="s">
        <v>239</v>
      </c>
      <c r="C77" s="226" t="s">
        <v>114</v>
      </c>
      <c r="D77" s="7" t="s">
        <v>397</v>
      </c>
      <c r="E77" s="227" t="s">
        <v>415</v>
      </c>
      <c r="F77" s="238" t="s">
        <v>387</v>
      </c>
      <c r="G77" s="226">
        <v>5</v>
      </c>
      <c r="H77" s="7">
        <v>12</v>
      </c>
      <c r="I77" s="7" t="s">
        <v>392</v>
      </c>
      <c r="J77" s="7" t="s">
        <v>392</v>
      </c>
      <c r="K77" s="7" t="s">
        <v>392</v>
      </c>
      <c r="L77" s="7">
        <v>2</v>
      </c>
      <c r="M77" s="233" t="s">
        <v>392</v>
      </c>
      <c r="N77" s="235" t="s">
        <v>416</v>
      </c>
      <c r="O77" s="25"/>
      <c r="P77" s="25"/>
      <c r="Q77" s="25"/>
      <c r="R77" s="25"/>
      <c r="S77" s="25"/>
      <c r="T77" s="25"/>
    </row>
    <row r="78" spans="1:20" x14ac:dyDescent="0.45">
      <c r="A78" s="25"/>
      <c r="B78" s="231" t="s">
        <v>243</v>
      </c>
      <c r="C78" s="336" t="s">
        <v>388</v>
      </c>
      <c r="D78" s="9" t="s">
        <v>388</v>
      </c>
      <c r="E78" s="233" t="s">
        <v>391</v>
      </c>
      <c r="F78" s="238" t="s">
        <v>392</v>
      </c>
      <c r="G78" s="226" t="s">
        <v>392</v>
      </c>
      <c r="H78" s="7" t="s">
        <v>392</v>
      </c>
      <c r="I78" s="7">
        <v>1</v>
      </c>
      <c r="J78" s="7" t="s">
        <v>392</v>
      </c>
      <c r="K78" s="7" t="s">
        <v>392</v>
      </c>
      <c r="L78" s="7" t="s">
        <v>392</v>
      </c>
      <c r="M78" s="233" t="s">
        <v>392</v>
      </c>
      <c r="N78" s="235" t="s">
        <v>391</v>
      </c>
      <c r="O78" s="25"/>
      <c r="P78" s="25"/>
      <c r="Q78" s="25"/>
      <c r="R78" s="25"/>
      <c r="S78" s="25"/>
      <c r="T78" s="25"/>
    </row>
    <row r="79" spans="1:20" ht="28.5" x14ac:dyDescent="0.45">
      <c r="A79" s="25"/>
      <c r="B79" s="231" t="s">
        <v>240</v>
      </c>
      <c r="C79" s="226" t="s">
        <v>114</v>
      </c>
      <c r="D79" s="7" t="s">
        <v>397</v>
      </c>
      <c r="E79" s="233" t="s">
        <v>417</v>
      </c>
      <c r="F79" s="238" t="s">
        <v>387</v>
      </c>
      <c r="G79" s="226">
        <v>20</v>
      </c>
      <c r="H79" s="7" t="s">
        <v>409</v>
      </c>
      <c r="I79" s="7" t="s">
        <v>392</v>
      </c>
      <c r="J79" s="7" t="s">
        <v>392</v>
      </c>
      <c r="K79" s="7" t="s">
        <v>418</v>
      </c>
      <c r="L79" s="7">
        <v>10</v>
      </c>
      <c r="M79" s="233" t="s">
        <v>418</v>
      </c>
      <c r="N79" s="235" t="s">
        <v>419</v>
      </c>
      <c r="O79" s="25"/>
      <c r="P79" s="25"/>
      <c r="Q79" s="25"/>
      <c r="R79" s="25"/>
      <c r="S79" s="25"/>
      <c r="T79" s="25"/>
    </row>
    <row r="80" spans="1:20" x14ac:dyDescent="0.45">
      <c r="A80" s="25"/>
      <c r="B80" s="231" t="s">
        <v>236</v>
      </c>
      <c r="C80" s="226" t="s">
        <v>114</v>
      </c>
      <c r="D80" s="7" t="s">
        <v>397</v>
      </c>
      <c r="E80" s="227" t="s">
        <v>420</v>
      </c>
      <c r="F80" s="238" t="s">
        <v>387</v>
      </c>
      <c r="G80" s="226">
        <v>20</v>
      </c>
      <c r="H80" s="7" t="s">
        <v>409</v>
      </c>
      <c r="I80" s="7" t="s">
        <v>392</v>
      </c>
      <c r="J80" s="7" t="s">
        <v>392</v>
      </c>
      <c r="K80" s="7" t="s">
        <v>392</v>
      </c>
      <c r="L80" s="7">
        <v>10</v>
      </c>
      <c r="M80" s="233" t="s">
        <v>392</v>
      </c>
      <c r="N80" s="235" t="s">
        <v>421</v>
      </c>
      <c r="O80" s="25"/>
      <c r="P80" s="25"/>
      <c r="Q80" s="25"/>
      <c r="R80" s="25"/>
      <c r="S80" s="25"/>
      <c r="T80" s="25"/>
    </row>
    <row r="81" spans="1:20" ht="28.5" x14ac:dyDescent="0.45">
      <c r="A81" s="25"/>
      <c r="B81" s="231" t="s">
        <v>241</v>
      </c>
      <c r="C81" s="226" t="s">
        <v>114</v>
      </c>
      <c r="D81" s="7" t="s">
        <v>397</v>
      </c>
      <c r="E81" s="233" t="s">
        <v>422</v>
      </c>
      <c r="F81" s="238" t="s">
        <v>387</v>
      </c>
      <c r="G81" s="226">
        <v>20</v>
      </c>
      <c r="H81" s="7" t="s">
        <v>409</v>
      </c>
      <c r="I81" s="7" t="s">
        <v>392</v>
      </c>
      <c r="J81" s="7" t="s">
        <v>392</v>
      </c>
      <c r="K81" s="7" t="s">
        <v>392</v>
      </c>
      <c r="L81" s="7">
        <v>10</v>
      </c>
      <c r="M81" s="233">
        <v>10</v>
      </c>
      <c r="N81" s="235" t="s">
        <v>419</v>
      </c>
      <c r="O81" s="25"/>
      <c r="P81" s="25"/>
      <c r="Q81" s="25"/>
      <c r="R81" s="25"/>
      <c r="S81" s="25"/>
      <c r="T81" s="25"/>
    </row>
    <row r="82" spans="1:20" x14ac:dyDescent="0.45">
      <c r="A82" s="25"/>
      <c r="B82" s="231" t="s">
        <v>237</v>
      </c>
      <c r="C82" s="226" t="s">
        <v>114</v>
      </c>
      <c r="D82" s="7" t="s">
        <v>397</v>
      </c>
      <c r="E82" s="227" t="s">
        <v>423</v>
      </c>
      <c r="F82" s="238" t="s">
        <v>387</v>
      </c>
      <c r="G82" s="226">
        <v>20</v>
      </c>
      <c r="H82" s="7" t="s">
        <v>409</v>
      </c>
      <c r="I82" s="7" t="s">
        <v>392</v>
      </c>
      <c r="J82" s="7" t="s">
        <v>392</v>
      </c>
      <c r="K82" s="7" t="s">
        <v>392</v>
      </c>
      <c r="L82" s="7">
        <v>10</v>
      </c>
      <c r="M82" s="233">
        <v>10</v>
      </c>
      <c r="N82" s="235" t="s">
        <v>400</v>
      </c>
      <c r="O82" s="25"/>
      <c r="P82" s="25"/>
      <c r="Q82" s="25"/>
      <c r="R82" s="25"/>
      <c r="S82" s="25"/>
      <c r="T82" s="25"/>
    </row>
    <row r="83" spans="1:20" x14ac:dyDescent="0.45">
      <c r="A83" s="25"/>
      <c r="B83" s="231" t="s">
        <v>260</v>
      </c>
      <c r="C83" s="226" t="s">
        <v>114</v>
      </c>
      <c r="D83" s="7" t="s">
        <v>397</v>
      </c>
      <c r="E83" s="227" t="s">
        <v>260</v>
      </c>
      <c r="F83" s="238" t="s">
        <v>387</v>
      </c>
      <c r="G83" s="226">
        <v>5</v>
      </c>
      <c r="H83" s="7">
        <v>10</v>
      </c>
      <c r="I83" s="7" t="s">
        <v>392</v>
      </c>
      <c r="J83" s="7" t="s">
        <v>392</v>
      </c>
      <c r="K83" s="7" t="s">
        <v>392</v>
      </c>
      <c r="L83" s="7">
        <v>4</v>
      </c>
      <c r="M83" s="233">
        <v>10</v>
      </c>
      <c r="N83" s="235" t="s">
        <v>400</v>
      </c>
      <c r="O83" s="25"/>
      <c r="P83" s="25"/>
      <c r="Q83" s="25"/>
      <c r="R83" s="25"/>
      <c r="S83" s="25"/>
      <c r="T83" s="25"/>
    </row>
    <row r="84" spans="1:20" x14ac:dyDescent="0.45">
      <c r="A84" s="25"/>
      <c r="B84" s="231" t="s">
        <v>259</v>
      </c>
      <c r="C84" s="226" t="s">
        <v>114</v>
      </c>
      <c r="D84" s="7" t="s">
        <v>397</v>
      </c>
      <c r="E84" s="227" t="s">
        <v>259</v>
      </c>
      <c r="F84" s="238" t="s">
        <v>387</v>
      </c>
      <c r="G84" s="226">
        <v>5</v>
      </c>
      <c r="H84" s="7">
        <v>10</v>
      </c>
      <c r="I84" s="7" t="s">
        <v>392</v>
      </c>
      <c r="J84" s="7" t="s">
        <v>392</v>
      </c>
      <c r="K84" s="7" t="s">
        <v>392</v>
      </c>
      <c r="L84" s="7">
        <v>4</v>
      </c>
      <c r="M84" s="233">
        <v>10</v>
      </c>
      <c r="N84" s="235" t="s">
        <v>400</v>
      </c>
      <c r="O84" s="25"/>
      <c r="P84" s="25"/>
      <c r="Q84" s="25"/>
      <c r="R84" s="25"/>
      <c r="S84" s="25"/>
      <c r="T84" s="25"/>
    </row>
    <row r="85" spans="1:20" x14ac:dyDescent="0.45">
      <c r="A85" s="25"/>
      <c r="B85" s="231" t="s">
        <v>261</v>
      </c>
      <c r="C85" s="336" t="s">
        <v>388</v>
      </c>
      <c r="D85" s="9" t="s">
        <v>388</v>
      </c>
      <c r="E85" s="233" t="s">
        <v>424</v>
      </c>
      <c r="F85" s="238" t="s">
        <v>392</v>
      </c>
      <c r="G85" s="226" t="s">
        <v>392</v>
      </c>
      <c r="H85" s="7" t="s">
        <v>392</v>
      </c>
      <c r="I85" s="7">
        <v>1</v>
      </c>
      <c r="J85" s="7" t="s">
        <v>392</v>
      </c>
      <c r="K85" s="7" t="s">
        <v>392</v>
      </c>
      <c r="L85" s="7" t="s">
        <v>392</v>
      </c>
      <c r="M85" s="233" t="s">
        <v>392</v>
      </c>
      <c r="N85" s="235" t="s">
        <v>425</v>
      </c>
      <c r="O85" s="25"/>
      <c r="P85" s="25"/>
      <c r="Q85" s="25"/>
      <c r="R85" s="25"/>
      <c r="S85" s="25"/>
      <c r="T85" s="25"/>
    </row>
    <row r="86" spans="1:20" x14ac:dyDescent="0.45">
      <c r="A86" s="25"/>
      <c r="B86" s="231"/>
      <c r="C86" s="226"/>
      <c r="D86" s="7"/>
      <c r="E86" s="227"/>
      <c r="F86" s="238"/>
      <c r="G86" s="226"/>
      <c r="H86" s="7"/>
      <c r="I86" s="7"/>
      <c r="J86" s="7"/>
      <c r="K86" s="7"/>
      <c r="L86" s="7"/>
      <c r="M86" s="227"/>
      <c r="N86" s="231"/>
      <c r="O86" s="25"/>
      <c r="P86" s="25"/>
      <c r="Q86" s="25"/>
      <c r="R86" s="25"/>
      <c r="S86" s="25"/>
      <c r="T86" s="25"/>
    </row>
    <row r="87" spans="1:20" x14ac:dyDescent="0.45">
      <c r="A87" s="25"/>
      <c r="B87" s="231"/>
      <c r="C87" s="226"/>
      <c r="D87" s="7"/>
      <c r="E87" s="227"/>
      <c r="F87" s="238"/>
      <c r="G87" s="226"/>
      <c r="H87" s="7"/>
      <c r="I87" s="7"/>
      <c r="J87" s="7"/>
      <c r="K87" s="7"/>
      <c r="L87" s="7"/>
      <c r="M87" s="227"/>
      <c r="N87" s="231"/>
      <c r="O87" s="25"/>
      <c r="P87" s="25"/>
      <c r="Q87" s="25"/>
      <c r="R87" s="25"/>
      <c r="S87" s="25"/>
      <c r="T87" s="25"/>
    </row>
    <row r="88" spans="1:20" x14ac:dyDescent="0.45">
      <c r="A88" s="25"/>
      <c r="B88" s="231"/>
      <c r="C88" s="226"/>
      <c r="D88" s="7"/>
      <c r="E88" s="227"/>
      <c r="F88" s="238"/>
      <c r="G88" s="226"/>
      <c r="H88" s="7"/>
      <c r="I88" s="7"/>
      <c r="J88" s="7"/>
      <c r="K88" s="7"/>
      <c r="L88" s="7"/>
      <c r="M88" s="227"/>
      <c r="N88" s="231"/>
      <c r="O88" s="25"/>
      <c r="P88" s="25"/>
      <c r="Q88" s="25"/>
      <c r="R88" s="25"/>
      <c r="S88" s="25"/>
      <c r="T88" s="25"/>
    </row>
    <row r="89" spans="1:20" x14ac:dyDescent="0.45">
      <c r="A89" s="25"/>
      <c r="B89" s="231"/>
      <c r="C89" s="226"/>
      <c r="D89" s="7"/>
      <c r="E89" s="227"/>
      <c r="F89" s="238"/>
      <c r="G89" s="226"/>
      <c r="H89" s="7"/>
      <c r="I89" s="7"/>
      <c r="J89" s="7"/>
      <c r="K89" s="7"/>
      <c r="L89" s="7"/>
      <c r="M89" s="227"/>
      <c r="N89" s="231"/>
      <c r="O89" s="25"/>
      <c r="P89" s="25"/>
      <c r="Q89" s="25"/>
      <c r="R89" s="25"/>
      <c r="S89" s="25"/>
      <c r="T89" s="25"/>
    </row>
    <row r="90" spans="1:20" x14ac:dyDescent="0.45">
      <c r="A90" s="25"/>
      <c r="B90" s="231"/>
      <c r="C90" s="226"/>
      <c r="D90" s="7"/>
      <c r="E90" s="227"/>
      <c r="F90" s="238"/>
      <c r="G90" s="226"/>
      <c r="H90" s="7"/>
      <c r="I90" s="7"/>
      <c r="J90" s="7"/>
      <c r="K90" s="7"/>
      <c r="L90" s="7"/>
      <c r="M90" s="227"/>
      <c r="N90" s="231"/>
      <c r="O90" s="25"/>
      <c r="P90" s="25"/>
      <c r="Q90" s="25"/>
      <c r="R90" s="25"/>
      <c r="S90" s="25"/>
      <c r="T90" s="25"/>
    </row>
    <row r="91" spans="1:20" x14ac:dyDescent="0.45">
      <c r="A91" s="25"/>
      <c r="B91" s="231"/>
      <c r="C91" s="226"/>
      <c r="D91" s="7"/>
      <c r="E91" s="227"/>
      <c r="F91" s="238"/>
      <c r="G91" s="226"/>
      <c r="H91" s="7"/>
      <c r="I91" s="7"/>
      <c r="J91" s="7"/>
      <c r="K91" s="7"/>
      <c r="L91" s="7"/>
      <c r="M91" s="227"/>
      <c r="N91" s="231"/>
      <c r="O91" s="25"/>
      <c r="P91" s="25"/>
      <c r="Q91" s="25"/>
      <c r="R91" s="25"/>
      <c r="S91" s="25"/>
      <c r="T91" s="25"/>
    </row>
    <row r="92" spans="1:20" x14ac:dyDescent="0.45">
      <c r="A92" s="25"/>
      <c r="B92" s="231"/>
      <c r="C92" s="226"/>
      <c r="D92" s="7"/>
      <c r="E92" s="227"/>
      <c r="F92" s="238"/>
      <c r="G92" s="226"/>
      <c r="H92" s="7"/>
      <c r="I92" s="7"/>
      <c r="J92" s="7"/>
      <c r="K92" s="7"/>
      <c r="L92" s="7"/>
      <c r="M92" s="227"/>
      <c r="N92" s="231"/>
      <c r="O92" s="25"/>
      <c r="P92" s="25"/>
      <c r="Q92" s="25"/>
      <c r="R92" s="25"/>
      <c r="S92" s="25"/>
      <c r="T92" s="25"/>
    </row>
    <row r="93" spans="1:20" x14ac:dyDescent="0.45">
      <c r="A93" s="25"/>
      <c r="B93" s="231"/>
      <c r="C93" s="226"/>
      <c r="D93" s="7"/>
      <c r="E93" s="227"/>
      <c r="F93" s="238"/>
      <c r="G93" s="226"/>
      <c r="H93" s="7"/>
      <c r="I93" s="7"/>
      <c r="J93" s="7"/>
      <c r="K93" s="7"/>
      <c r="L93" s="7"/>
      <c r="M93" s="227"/>
      <c r="N93" s="231"/>
      <c r="O93" s="25"/>
      <c r="P93" s="25"/>
      <c r="Q93" s="25"/>
      <c r="R93" s="25"/>
      <c r="S93" s="25"/>
      <c r="T93" s="25"/>
    </row>
    <row r="94" spans="1:20" x14ac:dyDescent="0.45">
      <c r="A94" s="25"/>
      <c r="B94" s="231"/>
      <c r="C94" s="226"/>
      <c r="D94" s="7"/>
      <c r="E94" s="227"/>
      <c r="F94" s="238"/>
      <c r="G94" s="226"/>
      <c r="H94" s="7"/>
      <c r="I94" s="7"/>
      <c r="J94" s="7"/>
      <c r="K94" s="7"/>
      <c r="L94" s="7"/>
      <c r="M94" s="227"/>
      <c r="N94" s="231"/>
      <c r="O94" s="25"/>
      <c r="P94" s="25"/>
      <c r="Q94" s="25"/>
      <c r="R94" s="25"/>
      <c r="S94" s="25"/>
      <c r="T94" s="25"/>
    </row>
    <row r="95" spans="1:20" x14ac:dyDescent="0.45">
      <c r="A95" s="25"/>
      <c r="B95" s="231"/>
      <c r="C95" s="226"/>
      <c r="D95" s="7"/>
      <c r="E95" s="227"/>
      <c r="F95" s="238"/>
      <c r="G95" s="226"/>
      <c r="H95" s="7"/>
      <c r="I95" s="7"/>
      <c r="J95" s="7"/>
      <c r="K95" s="7"/>
      <c r="L95" s="7"/>
      <c r="M95" s="227"/>
      <c r="N95" s="231"/>
      <c r="O95" s="25"/>
      <c r="P95" s="25"/>
      <c r="Q95" s="25"/>
      <c r="R95" s="25"/>
      <c r="S95" s="25"/>
      <c r="T95" s="25"/>
    </row>
    <row r="96" spans="1:20" x14ac:dyDescent="0.45">
      <c r="A96" s="25"/>
      <c r="B96" s="231"/>
      <c r="C96" s="226"/>
      <c r="D96" s="7"/>
      <c r="E96" s="227"/>
      <c r="F96" s="238"/>
      <c r="G96" s="226"/>
      <c r="H96" s="7"/>
      <c r="I96" s="7"/>
      <c r="J96" s="7"/>
      <c r="K96" s="7"/>
      <c r="L96" s="7"/>
      <c r="M96" s="227"/>
      <c r="N96" s="231"/>
      <c r="O96" s="25"/>
      <c r="P96" s="25"/>
      <c r="Q96" s="25"/>
      <c r="R96" s="25"/>
      <c r="S96" s="25"/>
      <c r="T96" s="25"/>
    </row>
    <row r="97" spans="1:20" x14ac:dyDescent="0.45">
      <c r="A97" s="25"/>
      <c r="B97" s="231"/>
      <c r="C97" s="226"/>
      <c r="D97" s="7"/>
      <c r="E97" s="227"/>
      <c r="F97" s="238"/>
      <c r="G97" s="226"/>
      <c r="H97" s="7"/>
      <c r="I97" s="7"/>
      <c r="J97" s="7"/>
      <c r="K97" s="7"/>
      <c r="L97" s="7"/>
      <c r="M97" s="227"/>
      <c r="N97" s="231"/>
      <c r="O97" s="25"/>
      <c r="P97" s="25"/>
      <c r="Q97" s="25"/>
      <c r="R97" s="25"/>
      <c r="S97" s="25"/>
      <c r="T97" s="25"/>
    </row>
    <row r="98" spans="1:20" x14ac:dyDescent="0.45">
      <c r="A98" s="25"/>
      <c r="B98" s="231"/>
      <c r="C98" s="226"/>
      <c r="D98" s="7"/>
      <c r="E98" s="227"/>
      <c r="F98" s="238"/>
      <c r="G98" s="226"/>
      <c r="H98" s="7"/>
      <c r="I98" s="7"/>
      <c r="J98" s="7"/>
      <c r="K98" s="7"/>
      <c r="L98" s="7"/>
      <c r="M98" s="227"/>
      <c r="N98" s="231"/>
      <c r="O98" s="25"/>
      <c r="P98" s="25"/>
      <c r="Q98" s="25"/>
      <c r="R98" s="25"/>
      <c r="S98" s="25"/>
      <c r="T98" s="25"/>
    </row>
    <row r="99" spans="1:20" x14ac:dyDescent="0.45">
      <c r="A99" s="25"/>
      <c r="B99" s="231"/>
      <c r="C99" s="226"/>
      <c r="D99" s="7"/>
      <c r="E99" s="227"/>
      <c r="F99" s="238"/>
      <c r="G99" s="226"/>
      <c r="H99" s="7"/>
      <c r="I99" s="7"/>
      <c r="J99" s="7"/>
      <c r="K99" s="7"/>
      <c r="L99" s="7"/>
      <c r="M99" s="227"/>
      <c r="N99" s="231"/>
      <c r="O99" s="25"/>
      <c r="P99" s="25"/>
      <c r="Q99" s="25"/>
      <c r="R99" s="25"/>
      <c r="S99" s="25"/>
      <c r="T99" s="25"/>
    </row>
    <row r="100" spans="1:20" x14ac:dyDescent="0.45">
      <c r="A100" s="25"/>
      <c r="B100" s="231"/>
      <c r="C100" s="226"/>
      <c r="D100" s="7"/>
      <c r="E100" s="227"/>
      <c r="F100" s="238"/>
      <c r="G100" s="226"/>
      <c r="H100" s="7"/>
      <c r="I100" s="7"/>
      <c r="J100" s="7"/>
      <c r="K100" s="7"/>
      <c r="L100" s="7"/>
      <c r="M100" s="227"/>
      <c r="N100" s="231"/>
      <c r="O100" s="25"/>
      <c r="P100" s="25"/>
      <c r="Q100" s="25"/>
      <c r="R100" s="25"/>
      <c r="S100" s="25"/>
      <c r="T100" s="25"/>
    </row>
    <row r="101" spans="1:20" x14ac:dyDescent="0.45">
      <c r="A101" s="25"/>
      <c r="B101" s="231"/>
      <c r="C101" s="226"/>
      <c r="D101" s="7"/>
      <c r="E101" s="227"/>
      <c r="F101" s="238"/>
      <c r="G101" s="226"/>
      <c r="H101" s="7"/>
      <c r="I101" s="7"/>
      <c r="J101" s="7"/>
      <c r="K101" s="7"/>
      <c r="L101" s="7"/>
      <c r="M101" s="227"/>
      <c r="N101" s="231"/>
      <c r="O101" s="25"/>
      <c r="P101" s="25"/>
      <c r="Q101" s="25"/>
      <c r="R101" s="25"/>
      <c r="S101" s="25"/>
      <c r="T101" s="25"/>
    </row>
    <row r="102" spans="1:20" x14ac:dyDescent="0.45">
      <c r="A102" s="25"/>
      <c r="B102" s="231"/>
      <c r="C102" s="226"/>
      <c r="D102" s="7"/>
      <c r="E102" s="227"/>
      <c r="F102" s="238"/>
      <c r="G102" s="226"/>
      <c r="H102" s="7"/>
      <c r="I102" s="7"/>
      <c r="J102" s="7"/>
      <c r="K102" s="7"/>
      <c r="L102" s="7"/>
      <c r="M102" s="227"/>
      <c r="N102" s="231"/>
      <c r="O102" s="25"/>
      <c r="P102" s="25"/>
      <c r="Q102" s="25"/>
      <c r="R102" s="25"/>
      <c r="S102" s="25"/>
      <c r="T102" s="25"/>
    </row>
    <row r="103" spans="1:20" x14ac:dyDescent="0.45">
      <c r="A103" s="25"/>
      <c r="B103" s="231"/>
      <c r="C103" s="226"/>
      <c r="D103" s="7"/>
      <c r="E103" s="227"/>
      <c r="F103" s="238"/>
      <c r="G103" s="226"/>
      <c r="H103" s="7"/>
      <c r="I103" s="7"/>
      <c r="J103" s="7"/>
      <c r="K103" s="7"/>
      <c r="L103" s="7"/>
      <c r="M103" s="227"/>
      <c r="N103" s="231"/>
      <c r="O103" s="25"/>
      <c r="P103" s="25"/>
      <c r="Q103" s="25"/>
      <c r="R103" s="25"/>
      <c r="S103" s="25"/>
      <c r="T103" s="25"/>
    </row>
    <row r="104" spans="1:20" x14ac:dyDescent="0.45">
      <c r="A104" s="25"/>
      <c r="B104" s="231"/>
      <c r="C104" s="226"/>
      <c r="D104" s="7"/>
      <c r="E104" s="227"/>
      <c r="F104" s="238"/>
      <c r="G104" s="226"/>
      <c r="H104" s="7"/>
      <c r="I104" s="7"/>
      <c r="J104" s="7"/>
      <c r="K104" s="7"/>
      <c r="L104" s="7"/>
      <c r="M104" s="227"/>
      <c r="N104" s="231"/>
      <c r="O104" s="25"/>
      <c r="P104" s="25"/>
      <c r="Q104" s="25"/>
      <c r="R104" s="25"/>
      <c r="S104" s="25"/>
      <c r="T104" s="25"/>
    </row>
    <row r="105" spans="1:20" x14ac:dyDescent="0.45">
      <c r="A105" s="25"/>
      <c r="B105" s="231"/>
      <c r="C105" s="226"/>
      <c r="D105" s="7"/>
      <c r="E105" s="227"/>
      <c r="F105" s="238"/>
      <c r="G105" s="226"/>
      <c r="H105" s="7"/>
      <c r="I105" s="7"/>
      <c r="J105" s="7"/>
      <c r="K105" s="7"/>
      <c r="L105" s="7"/>
      <c r="M105" s="227"/>
      <c r="N105" s="231"/>
      <c r="O105" s="25"/>
      <c r="P105" s="25"/>
      <c r="Q105" s="25"/>
      <c r="R105" s="25"/>
      <c r="S105" s="25"/>
      <c r="T105" s="25"/>
    </row>
    <row r="106" spans="1:20" ht="14.65" thickBot="1" x14ac:dyDescent="0.5">
      <c r="A106" s="25"/>
      <c r="B106" s="232"/>
      <c r="C106" s="228"/>
      <c r="D106" s="229"/>
      <c r="E106" s="230"/>
      <c r="F106" s="339"/>
      <c r="G106" s="228"/>
      <c r="H106" s="229"/>
      <c r="I106" s="229"/>
      <c r="J106" s="229"/>
      <c r="K106" s="229"/>
      <c r="L106" s="229"/>
      <c r="M106" s="230"/>
      <c r="N106" s="232"/>
      <c r="O106" s="25"/>
      <c r="P106" s="25"/>
      <c r="Q106" s="25"/>
      <c r="R106" s="25"/>
      <c r="S106" s="25"/>
      <c r="T106" s="25"/>
    </row>
    <row r="107" spans="1:20" x14ac:dyDescent="0.45">
      <c r="A107" s="25"/>
      <c r="B107" s="25"/>
      <c r="C107" s="25"/>
      <c r="D107" s="25"/>
      <c r="E107" s="25"/>
      <c r="F107" s="25"/>
      <c r="G107" s="25"/>
      <c r="H107" s="25"/>
      <c r="I107" s="25"/>
      <c r="J107" s="25"/>
      <c r="K107" s="25"/>
      <c r="L107" s="25"/>
      <c r="M107" s="25"/>
      <c r="N107" s="25"/>
      <c r="O107" s="25"/>
      <c r="P107" s="25"/>
      <c r="Q107" s="25"/>
      <c r="R107" s="25"/>
      <c r="S107" s="25"/>
      <c r="T107" s="25"/>
    </row>
    <row r="108" spans="1:20" x14ac:dyDescent="0.45">
      <c r="A108" s="25"/>
      <c r="B108" s="25"/>
      <c r="C108" s="25"/>
      <c r="D108" s="25"/>
      <c r="E108" s="25"/>
      <c r="F108" s="25"/>
      <c r="G108" s="25"/>
      <c r="H108" s="25"/>
      <c r="I108" s="25"/>
      <c r="J108" s="25"/>
      <c r="K108" s="25"/>
      <c r="L108" s="25"/>
      <c r="M108" s="25"/>
      <c r="N108" s="25"/>
      <c r="O108" s="25"/>
      <c r="P108" s="25"/>
      <c r="Q108" s="25"/>
      <c r="R108" s="25"/>
      <c r="S108" s="25"/>
      <c r="T108" s="25"/>
    </row>
    <row r="109" spans="1:20" x14ac:dyDescent="0.45">
      <c r="A109" s="25"/>
      <c r="B109" s="25"/>
      <c r="C109" s="25"/>
      <c r="D109" s="25"/>
      <c r="E109" s="25"/>
      <c r="F109" s="25"/>
      <c r="G109" s="25"/>
      <c r="H109" s="25"/>
      <c r="I109" s="25"/>
      <c r="J109" s="25"/>
      <c r="K109" s="25"/>
      <c r="L109" s="25"/>
      <c r="M109" s="25"/>
      <c r="N109" s="25"/>
      <c r="O109" s="25"/>
      <c r="P109" s="25"/>
      <c r="Q109" s="25"/>
      <c r="R109" s="25"/>
      <c r="S109" s="25"/>
      <c r="T109" s="25"/>
    </row>
    <row r="110" spans="1:20" x14ac:dyDescent="0.45">
      <c r="A110" s="25"/>
      <c r="B110" s="25"/>
      <c r="C110" s="25"/>
      <c r="D110" s="25"/>
      <c r="E110" s="25"/>
      <c r="F110" s="25"/>
      <c r="G110" s="25"/>
      <c r="H110" s="25"/>
      <c r="I110" s="25"/>
      <c r="J110" s="25"/>
      <c r="K110" s="25"/>
      <c r="L110" s="25"/>
      <c r="M110" s="25"/>
      <c r="N110" s="25"/>
      <c r="O110" s="25"/>
      <c r="P110" s="25"/>
      <c r="Q110" s="25"/>
      <c r="R110" s="25"/>
      <c r="S110" s="25"/>
      <c r="T110" s="25"/>
    </row>
    <row r="111" spans="1:20" x14ac:dyDescent="0.45">
      <c r="A111" s="25"/>
      <c r="B111" s="25"/>
      <c r="C111" s="25"/>
      <c r="D111" s="25"/>
      <c r="E111" s="25"/>
      <c r="F111" s="25"/>
      <c r="G111" s="25"/>
      <c r="H111" s="25"/>
      <c r="I111" s="25"/>
      <c r="J111" s="25"/>
      <c r="K111" s="25"/>
      <c r="L111" s="25"/>
      <c r="M111" s="25"/>
      <c r="N111" s="25"/>
      <c r="O111" s="25"/>
      <c r="P111" s="25"/>
      <c r="Q111" s="25"/>
      <c r="R111" s="25"/>
      <c r="S111" s="25"/>
      <c r="T111" s="25"/>
    </row>
    <row r="112" spans="1:20" x14ac:dyDescent="0.45">
      <c r="A112" s="25"/>
      <c r="B112" s="25"/>
      <c r="C112" s="25"/>
      <c r="D112" s="25"/>
      <c r="E112" s="25"/>
      <c r="F112" s="25"/>
      <c r="G112" s="25"/>
      <c r="H112" s="25"/>
      <c r="I112" s="25"/>
      <c r="J112" s="25"/>
      <c r="K112" s="25"/>
      <c r="L112" s="25"/>
      <c r="M112" s="25"/>
      <c r="N112" s="25"/>
      <c r="O112" s="25"/>
      <c r="P112" s="25"/>
      <c r="Q112" s="25"/>
      <c r="R112" s="25"/>
      <c r="S112" s="25"/>
      <c r="T112" s="25"/>
    </row>
    <row r="113" spans="1:20" x14ac:dyDescent="0.45">
      <c r="A113" s="25"/>
      <c r="B113" s="25"/>
      <c r="C113" s="25"/>
      <c r="D113" s="25"/>
      <c r="E113" s="25"/>
      <c r="F113" s="25"/>
      <c r="G113" s="25"/>
      <c r="H113" s="25"/>
      <c r="I113" s="25"/>
      <c r="J113" s="25"/>
      <c r="K113" s="25"/>
      <c r="L113" s="25"/>
      <c r="M113" s="25"/>
      <c r="N113" s="25"/>
      <c r="O113" s="25"/>
      <c r="P113" s="25"/>
      <c r="Q113" s="25"/>
      <c r="R113" s="25"/>
      <c r="S113" s="25"/>
      <c r="T113" s="25"/>
    </row>
    <row r="114" spans="1:20" x14ac:dyDescent="0.45">
      <c r="A114" s="25"/>
      <c r="B114" s="25"/>
      <c r="C114" s="25"/>
      <c r="D114" s="25"/>
      <c r="E114" s="25"/>
      <c r="F114" s="25"/>
      <c r="G114" s="25"/>
      <c r="H114" s="25"/>
      <c r="I114" s="25"/>
      <c r="J114" s="25"/>
      <c r="K114" s="25"/>
      <c r="L114" s="25"/>
      <c r="M114" s="25"/>
      <c r="N114" s="25"/>
      <c r="O114" s="25"/>
      <c r="P114" s="25"/>
      <c r="Q114" s="25"/>
      <c r="R114" s="25"/>
      <c r="S114" s="25"/>
      <c r="T114" s="25"/>
    </row>
    <row r="115" spans="1:20" x14ac:dyDescent="0.45">
      <c r="A115" s="25"/>
      <c r="B115" s="25"/>
      <c r="C115" s="25"/>
      <c r="D115" s="25"/>
      <c r="E115" s="25"/>
      <c r="F115" s="25"/>
      <c r="G115" s="25"/>
      <c r="H115" s="25"/>
      <c r="I115" s="25"/>
      <c r="J115" s="25"/>
      <c r="K115" s="25"/>
      <c r="L115" s="25"/>
      <c r="M115" s="25"/>
      <c r="N115" s="25"/>
      <c r="O115" s="25"/>
      <c r="P115" s="25"/>
      <c r="Q115" s="25"/>
      <c r="R115" s="25"/>
      <c r="S115" s="25"/>
      <c r="T115" s="25"/>
    </row>
    <row r="116" spans="1:20" x14ac:dyDescent="0.45">
      <c r="A116" s="25"/>
      <c r="B116" s="25"/>
      <c r="C116" s="25"/>
      <c r="D116" s="25"/>
      <c r="E116" s="25"/>
      <c r="F116" s="25"/>
      <c r="G116" s="25"/>
      <c r="H116" s="25"/>
      <c r="I116" s="25"/>
      <c r="J116" s="25"/>
      <c r="K116" s="25"/>
      <c r="L116" s="25"/>
      <c r="M116" s="25"/>
      <c r="N116" s="25"/>
      <c r="O116" s="25"/>
      <c r="P116" s="25"/>
      <c r="Q116" s="25"/>
      <c r="R116" s="25"/>
      <c r="S116" s="25"/>
      <c r="T116" s="25"/>
    </row>
    <row r="117" spans="1:20" x14ac:dyDescent="0.45">
      <c r="A117" s="25"/>
      <c r="B117" s="25"/>
      <c r="C117" s="25"/>
      <c r="D117" s="25"/>
      <c r="E117" s="25"/>
      <c r="F117" s="25"/>
      <c r="G117" s="25"/>
      <c r="H117" s="25"/>
      <c r="I117" s="25"/>
      <c r="J117" s="25"/>
      <c r="K117" s="25"/>
      <c r="L117" s="25"/>
      <c r="M117" s="25"/>
      <c r="N117" s="25"/>
      <c r="O117" s="25"/>
      <c r="P117" s="25"/>
      <c r="Q117" s="25"/>
      <c r="R117" s="25"/>
      <c r="S117" s="25"/>
      <c r="T117" s="25"/>
    </row>
    <row r="118" spans="1:20" x14ac:dyDescent="0.45">
      <c r="A118" s="25"/>
      <c r="B118" s="25"/>
      <c r="C118" s="25"/>
      <c r="D118" s="25"/>
      <c r="E118" s="25"/>
      <c r="F118" s="25"/>
      <c r="G118" s="25"/>
      <c r="H118" s="25"/>
      <c r="I118" s="25"/>
      <c r="J118" s="25"/>
      <c r="K118" s="25"/>
      <c r="L118" s="25"/>
      <c r="M118" s="25"/>
      <c r="N118" s="25"/>
      <c r="O118" s="25"/>
      <c r="P118" s="25"/>
      <c r="Q118" s="25"/>
      <c r="R118" s="25"/>
      <c r="S118" s="25"/>
      <c r="T118" s="25"/>
    </row>
    <row r="119" spans="1:20" x14ac:dyDescent="0.45">
      <c r="A119" s="25"/>
      <c r="B119" s="25"/>
      <c r="C119" s="25"/>
      <c r="D119" s="25"/>
      <c r="E119" s="25"/>
      <c r="F119" s="25"/>
      <c r="G119" s="25"/>
      <c r="H119" s="25"/>
      <c r="I119" s="25"/>
      <c r="J119" s="25"/>
      <c r="K119" s="25"/>
      <c r="L119" s="25"/>
      <c r="M119" s="25"/>
      <c r="N119" s="25"/>
      <c r="O119" s="25"/>
      <c r="P119" s="25"/>
      <c r="Q119" s="25"/>
      <c r="R119" s="25"/>
      <c r="S119" s="25"/>
      <c r="T119" s="25"/>
    </row>
    <row r="120" spans="1:20" x14ac:dyDescent="0.45">
      <c r="A120" s="25"/>
      <c r="B120" s="25"/>
      <c r="C120" s="25"/>
      <c r="D120" s="25"/>
      <c r="E120" s="25"/>
      <c r="F120" s="25"/>
      <c r="G120" s="25"/>
      <c r="H120" s="25"/>
      <c r="I120" s="25"/>
      <c r="J120" s="25"/>
      <c r="K120" s="25"/>
      <c r="L120" s="25"/>
      <c r="M120" s="25"/>
      <c r="N120" s="25"/>
      <c r="O120" s="25"/>
      <c r="P120" s="25"/>
      <c r="Q120" s="25"/>
      <c r="R120" s="25"/>
      <c r="S120" s="25"/>
      <c r="T120" s="25"/>
    </row>
    <row r="121" spans="1:20" x14ac:dyDescent="0.45">
      <c r="A121" s="25"/>
      <c r="B121" s="25"/>
      <c r="C121" s="25"/>
      <c r="D121" s="25"/>
      <c r="E121" s="25"/>
      <c r="F121" s="25"/>
      <c r="G121" s="25"/>
      <c r="H121" s="25"/>
      <c r="I121" s="25"/>
      <c r="J121" s="25"/>
      <c r="K121" s="25"/>
      <c r="L121" s="25"/>
      <c r="M121" s="25"/>
      <c r="N121" s="25"/>
      <c r="O121" s="25"/>
      <c r="P121" s="25"/>
      <c r="Q121" s="25"/>
      <c r="R121" s="25"/>
      <c r="S121" s="25"/>
      <c r="T121" s="25"/>
    </row>
    <row r="122" spans="1:20" x14ac:dyDescent="0.45">
      <c r="A122" s="25"/>
      <c r="B122" s="25"/>
      <c r="C122" s="25"/>
      <c r="D122" s="25"/>
      <c r="E122" s="25"/>
      <c r="F122" s="25"/>
      <c r="G122" s="25"/>
      <c r="H122" s="25"/>
      <c r="I122" s="25"/>
      <c r="J122" s="25"/>
      <c r="K122" s="25"/>
      <c r="L122" s="25"/>
      <c r="M122" s="25"/>
      <c r="N122" s="25"/>
      <c r="O122" s="25"/>
      <c r="P122" s="25"/>
      <c r="Q122" s="25"/>
      <c r="R122" s="25"/>
      <c r="S122" s="25"/>
      <c r="T122" s="25"/>
    </row>
    <row r="123" spans="1:20" x14ac:dyDescent="0.45">
      <c r="A123" s="25"/>
      <c r="B123" s="25"/>
      <c r="C123" s="25"/>
      <c r="D123" s="25"/>
      <c r="E123" s="25"/>
      <c r="F123" s="25"/>
      <c r="G123" s="25"/>
      <c r="H123" s="25"/>
      <c r="I123" s="25"/>
      <c r="J123" s="25"/>
      <c r="K123" s="25"/>
      <c r="L123" s="25"/>
      <c r="M123" s="25"/>
      <c r="N123" s="25"/>
      <c r="O123" s="25"/>
      <c r="P123" s="25"/>
      <c r="Q123" s="25"/>
      <c r="R123" s="25"/>
      <c r="S123" s="25"/>
      <c r="T123" s="25"/>
    </row>
    <row r="124" spans="1:20" x14ac:dyDescent="0.45">
      <c r="A124" s="25"/>
      <c r="B124" s="25"/>
      <c r="C124" s="25"/>
      <c r="D124" s="25"/>
      <c r="E124" s="25"/>
      <c r="F124" s="25"/>
      <c r="G124" s="25"/>
      <c r="H124" s="25"/>
      <c r="I124" s="25"/>
      <c r="J124" s="25"/>
      <c r="K124" s="25"/>
      <c r="L124" s="25"/>
      <c r="M124" s="25"/>
      <c r="N124" s="25"/>
      <c r="O124" s="25"/>
      <c r="P124" s="25"/>
      <c r="Q124" s="25"/>
      <c r="R124" s="25"/>
      <c r="S124" s="25"/>
      <c r="T124" s="25"/>
    </row>
    <row r="125" spans="1:20" x14ac:dyDescent="0.45">
      <c r="A125" s="25"/>
      <c r="B125" s="25"/>
      <c r="C125" s="25"/>
      <c r="D125" s="25"/>
      <c r="E125" s="25"/>
      <c r="F125" s="25"/>
      <c r="G125" s="25"/>
      <c r="H125" s="25"/>
      <c r="I125" s="25"/>
      <c r="J125" s="25"/>
      <c r="K125" s="25"/>
      <c r="L125" s="25"/>
      <c r="M125" s="25"/>
      <c r="N125" s="25"/>
      <c r="O125" s="25"/>
      <c r="P125" s="25"/>
      <c r="Q125" s="25"/>
      <c r="R125" s="25"/>
      <c r="S125" s="25"/>
      <c r="T125" s="25"/>
    </row>
    <row r="126" spans="1:20" x14ac:dyDescent="0.45">
      <c r="A126" s="25"/>
      <c r="B126" s="25"/>
      <c r="C126" s="25"/>
      <c r="D126" s="25"/>
      <c r="E126" s="25"/>
      <c r="F126" s="25"/>
      <c r="G126" s="25"/>
      <c r="H126" s="25"/>
      <c r="I126" s="25"/>
      <c r="J126" s="25"/>
      <c r="K126" s="25"/>
      <c r="L126" s="25"/>
      <c r="M126" s="25"/>
      <c r="N126" s="25"/>
      <c r="O126" s="25"/>
      <c r="P126" s="25"/>
      <c r="Q126" s="25"/>
      <c r="R126" s="25"/>
      <c r="S126" s="25"/>
      <c r="T126" s="25"/>
    </row>
    <row r="127" spans="1:20" x14ac:dyDescent="0.45">
      <c r="A127" s="25"/>
      <c r="B127" s="25"/>
      <c r="C127" s="25"/>
      <c r="D127" s="25"/>
      <c r="E127" s="25"/>
      <c r="F127" s="25"/>
      <c r="G127" s="25"/>
      <c r="H127" s="25"/>
      <c r="I127" s="25"/>
      <c r="J127" s="25"/>
      <c r="K127" s="25"/>
      <c r="L127" s="25"/>
      <c r="M127" s="25"/>
      <c r="N127" s="25"/>
      <c r="O127" s="25"/>
      <c r="P127" s="25"/>
      <c r="Q127" s="25"/>
      <c r="R127" s="25"/>
      <c r="S127" s="25"/>
      <c r="T127" s="25"/>
    </row>
    <row r="128" spans="1:20" x14ac:dyDescent="0.45">
      <c r="A128" s="25"/>
      <c r="B128" s="25"/>
      <c r="C128" s="25"/>
      <c r="D128" s="25"/>
      <c r="E128" s="25"/>
      <c r="F128" s="25"/>
      <c r="G128" s="25"/>
      <c r="H128" s="25"/>
      <c r="I128" s="25"/>
      <c r="J128" s="25"/>
      <c r="K128" s="25"/>
      <c r="L128" s="25"/>
      <c r="M128" s="25"/>
      <c r="N128" s="25"/>
      <c r="O128" s="25"/>
      <c r="P128" s="25"/>
      <c r="Q128" s="25"/>
      <c r="R128" s="25"/>
      <c r="S128" s="25"/>
      <c r="T128" s="25"/>
    </row>
    <row r="129" spans="1:20" x14ac:dyDescent="0.45">
      <c r="A129" s="25"/>
      <c r="B129" s="25"/>
      <c r="C129" s="25"/>
      <c r="D129" s="25"/>
      <c r="E129" s="25"/>
      <c r="F129" s="25"/>
      <c r="G129" s="25"/>
      <c r="H129" s="25"/>
      <c r="I129" s="25"/>
      <c r="J129" s="25"/>
      <c r="K129" s="25"/>
      <c r="L129" s="25"/>
      <c r="M129" s="25"/>
      <c r="N129" s="25"/>
      <c r="O129" s="25"/>
      <c r="P129" s="25"/>
      <c r="Q129" s="25"/>
      <c r="R129" s="25"/>
      <c r="S129" s="25"/>
      <c r="T129" s="25"/>
    </row>
    <row r="130" spans="1:20" x14ac:dyDescent="0.45">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45">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45">
      <c r="M132" s="25"/>
      <c r="N132" s="25"/>
      <c r="O132" s="25"/>
      <c r="P132" s="25"/>
      <c r="Q132" s="25"/>
      <c r="R132" s="25"/>
      <c r="S132" s="25"/>
      <c r="T132" s="25"/>
    </row>
    <row r="133" spans="1:20" hidden="1" x14ac:dyDescent="0.45">
      <c r="M133" s="25"/>
      <c r="N133" s="25"/>
      <c r="O133" s="25"/>
      <c r="P133" s="25"/>
      <c r="Q133" s="25"/>
      <c r="R133" s="25"/>
      <c r="S133" s="25"/>
      <c r="T133" s="25"/>
    </row>
    <row r="134" spans="1:20" hidden="1" x14ac:dyDescent="0.45">
      <c r="M134" s="25"/>
      <c r="N134" s="25"/>
      <c r="O134" s="25"/>
      <c r="P134" s="25"/>
      <c r="Q134" s="25"/>
      <c r="R134" s="25"/>
      <c r="S134" s="25"/>
      <c r="T134" s="25"/>
    </row>
    <row r="135" spans="1:20" hidden="1" x14ac:dyDescent="0.45">
      <c r="M135" s="25"/>
      <c r="N135" s="25"/>
      <c r="O135" s="25"/>
      <c r="P135" s="25"/>
      <c r="Q135" s="25"/>
      <c r="R135" s="25"/>
      <c r="S135" s="25"/>
      <c r="T135" s="25"/>
    </row>
    <row r="136" spans="1:20" hidden="1" x14ac:dyDescent="0.45">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B1" sqref="B1"/>
    </sheetView>
  </sheetViews>
  <sheetFormatPr defaultColWidth="2.73046875" defaultRowHeight="14.25" zeroHeight="1" x14ac:dyDescent="0.45"/>
  <cols>
    <col min="1" max="1" width="25.265625" customWidth="1"/>
    <col min="2" max="2" width="8.86328125" customWidth="1"/>
    <col min="3" max="3" width="42" customWidth="1"/>
    <col min="4" max="4" width="18.86328125" customWidth="1"/>
    <col min="5" max="5" width="32.3984375" customWidth="1"/>
    <col min="6" max="6" width="19.59765625" customWidth="1"/>
    <col min="7" max="7" width="32" bestFit="1" customWidth="1"/>
    <col min="8" max="8" width="8.86328125" customWidth="1"/>
    <col min="9" max="9" width="82.3984375" bestFit="1" customWidth="1"/>
    <col min="10" max="10" width="13.86328125" customWidth="1"/>
    <col min="11" max="11" width="35.265625" bestFit="1" customWidth="1"/>
    <col min="12" max="12" width="8.86328125" customWidth="1"/>
    <col min="13" max="13" width="48.59765625" bestFit="1" customWidth="1"/>
    <col min="14" max="14" width="8.86328125" customWidth="1"/>
    <col min="15" max="15" width="33.59765625" bestFit="1" customWidth="1"/>
    <col min="16" max="16" width="8.86328125" customWidth="1"/>
    <col min="17" max="17" width="44" customWidth="1"/>
    <col min="18" max="18" width="8.86328125" customWidth="1"/>
    <col min="19" max="19" width="35.73046875" bestFit="1" customWidth="1"/>
    <col min="20" max="20" width="8.86328125" customWidth="1"/>
    <col min="21" max="21" width="61.59765625" customWidth="1"/>
    <col min="22" max="22" width="12" bestFit="1" customWidth="1"/>
    <col min="23" max="23" width="81.73046875" bestFit="1" customWidth="1"/>
    <col min="24" max="24" width="61.265625" bestFit="1" customWidth="1"/>
    <col min="25" max="25" width="47.86328125" bestFit="1" customWidth="1"/>
    <col min="26" max="26" width="17" bestFit="1" customWidth="1"/>
    <col min="27" max="27" width="48.1328125" customWidth="1"/>
    <col min="28" max="28" width="17" bestFit="1" customWidth="1"/>
    <col min="29" max="29" width="48.1328125" customWidth="1"/>
    <col min="30" max="16380" width="2.73046875" hidden="1" customWidth="1"/>
    <col min="16381" max="16384" width="2.73046875" style="25" customWidth="1"/>
  </cols>
  <sheetData>
    <row r="1" spans="1:29" x14ac:dyDescent="0.45">
      <c r="A1" s="65" t="s">
        <v>426</v>
      </c>
      <c r="B1" s="25"/>
      <c r="C1" s="65" t="s">
        <v>202</v>
      </c>
      <c r="D1" s="25"/>
      <c r="E1" s="65" t="s">
        <v>206</v>
      </c>
      <c r="F1" s="25"/>
      <c r="G1" s="65" t="s">
        <v>427</v>
      </c>
      <c r="H1" s="25"/>
      <c r="I1" s="65" t="s">
        <v>428</v>
      </c>
      <c r="J1" s="25"/>
      <c r="K1" s="65" t="s">
        <v>429</v>
      </c>
      <c r="L1" s="25"/>
      <c r="M1" s="65" t="s">
        <v>210</v>
      </c>
      <c r="N1" s="25"/>
      <c r="O1" s="65" t="s">
        <v>430</v>
      </c>
      <c r="P1" s="25"/>
      <c r="Q1" s="65" t="s">
        <v>212</v>
      </c>
      <c r="R1" s="25"/>
      <c r="S1" s="65" t="s">
        <v>431</v>
      </c>
      <c r="T1" s="25"/>
      <c r="U1" s="65" t="s">
        <v>432</v>
      </c>
      <c r="V1" s="25"/>
      <c r="W1" s="65" t="s">
        <v>433</v>
      </c>
      <c r="X1" s="25"/>
      <c r="Y1" s="65" t="s">
        <v>252</v>
      </c>
      <c r="Z1" s="25"/>
      <c r="AA1" s="65" t="s">
        <v>434</v>
      </c>
      <c r="AB1" s="25"/>
      <c r="AC1" s="65" t="s">
        <v>435</v>
      </c>
    </row>
    <row r="2" spans="1:29" x14ac:dyDescent="0.45">
      <c r="A2" s="64" t="s">
        <v>202</v>
      </c>
      <c r="B2" s="25"/>
      <c r="C2" s="17" t="s">
        <v>296</v>
      </c>
      <c r="D2" s="25"/>
      <c r="E2" s="64" t="s">
        <v>308</v>
      </c>
      <c r="F2" s="25"/>
      <c r="G2" s="64" t="s">
        <v>313</v>
      </c>
      <c r="H2" s="25"/>
      <c r="I2" s="64" t="s">
        <v>365</v>
      </c>
      <c r="J2" s="25"/>
      <c r="K2" s="64" t="s">
        <v>355</v>
      </c>
      <c r="L2" s="25"/>
      <c r="M2" s="64" t="s">
        <v>322</v>
      </c>
      <c r="N2" s="25"/>
      <c r="O2" s="64" t="s">
        <v>326</v>
      </c>
      <c r="P2" s="25"/>
      <c r="Q2" s="64" t="s">
        <v>329</v>
      </c>
      <c r="R2" s="25"/>
      <c r="S2" s="64" t="s">
        <v>351</v>
      </c>
      <c r="T2" s="25"/>
      <c r="U2" s="64" t="s">
        <v>233</v>
      </c>
      <c r="V2" s="25"/>
      <c r="W2" s="64" t="s">
        <v>240</v>
      </c>
      <c r="X2" s="25"/>
      <c r="Y2" s="64" t="s">
        <v>259</v>
      </c>
      <c r="Z2" s="25"/>
      <c r="AA2" s="297" t="s">
        <v>356</v>
      </c>
      <c r="AB2" s="25"/>
      <c r="AC2" s="378" t="s">
        <v>94</v>
      </c>
    </row>
    <row r="3" spans="1:29" x14ac:dyDescent="0.45">
      <c r="A3" s="64" t="s">
        <v>206</v>
      </c>
      <c r="B3" s="25"/>
      <c r="C3" s="17" t="s">
        <v>298</v>
      </c>
      <c r="D3" s="25"/>
      <c r="E3" s="64" t="s">
        <v>309</v>
      </c>
      <c r="F3" s="25"/>
      <c r="G3" s="64" t="s">
        <v>314</v>
      </c>
      <c r="H3" s="25"/>
      <c r="I3" s="64" t="s">
        <v>366</v>
      </c>
      <c r="J3" s="25"/>
      <c r="K3" s="64" t="s">
        <v>357</v>
      </c>
      <c r="L3" s="25"/>
      <c r="M3" s="64" t="s">
        <v>324</v>
      </c>
      <c r="N3" s="25"/>
      <c r="O3" s="66" t="s">
        <v>327</v>
      </c>
      <c r="P3" s="25"/>
      <c r="Q3" s="64" t="s">
        <v>330</v>
      </c>
      <c r="R3" s="25"/>
      <c r="S3" s="64" t="s">
        <v>352</v>
      </c>
      <c r="T3" s="25"/>
      <c r="U3" s="64" t="s">
        <v>234</v>
      </c>
      <c r="V3" s="25"/>
      <c r="W3" s="64" t="s">
        <v>236</v>
      </c>
      <c r="X3" s="25"/>
      <c r="Y3" s="64" t="s">
        <v>261</v>
      </c>
      <c r="Z3" s="25"/>
      <c r="AA3" s="297"/>
      <c r="AB3" s="25"/>
      <c r="AC3" s="297"/>
    </row>
    <row r="4" spans="1:29" x14ac:dyDescent="0.45">
      <c r="A4" s="64" t="s">
        <v>207</v>
      </c>
      <c r="B4" s="25"/>
      <c r="C4" s="17" t="s">
        <v>299</v>
      </c>
      <c r="D4" s="25"/>
      <c r="E4" s="64" t="s">
        <v>310</v>
      </c>
      <c r="F4" s="25"/>
      <c r="G4" s="64" t="s">
        <v>315</v>
      </c>
      <c r="H4" s="25"/>
      <c r="I4" s="64" t="s">
        <v>367</v>
      </c>
      <c r="J4" s="25"/>
      <c r="K4" s="64" t="s">
        <v>358</v>
      </c>
      <c r="L4" s="25"/>
      <c r="M4" s="66" t="s">
        <v>325</v>
      </c>
      <c r="N4" s="25"/>
      <c r="O4" s="297" t="s">
        <v>328</v>
      </c>
      <c r="P4" s="25"/>
      <c r="Q4" s="64" t="s">
        <v>333</v>
      </c>
      <c r="R4" s="25"/>
      <c r="S4" s="64" t="s">
        <v>353</v>
      </c>
      <c r="T4" s="25"/>
      <c r="U4" s="64" t="s">
        <v>235</v>
      </c>
      <c r="V4" s="25"/>
      <c r="W4" s="64" t="s">
        <v>241</v>
      </c>
      <c r="X4" s="25"/>
      <c r="Y4" s="64" t="s">
        <v>260</v>
      </c>
      <c r="Z4" s="25"/>
      <c r="AA4" s="17"/>
      <c r="AB4" s="25"/>
      <c r="AC4" s="17"/>
    </row>
    <row r="5" spans="1:29" x14ac:dyDescent="0.45">
      <c r="A5" s="64" t="s">
        <v>208</v>
      </c>
      <c r="B5" s="25"/>
      <c r="C5" s="17" t="s">
        <v>300</v>
      </c>
      <c r="D5" s="25"/>
      <c r="E5" s="64" t="s">
        <v>311</v>
      </c>
      <c r="F5" s="25"/>
      <c r="G5" s="64" t="s">
        <v>316</v>
      </c>
      <c r="H5" s="25"/>
      <c r="I5" s="17"/>
      <c r="J5" s="25"/>
      <c r="K5" s="64" t="s">
        <v>359</v>
      </c>
      <c r="L5" s="25"/>
      <c r="M5" s="17"/>
      <c r="N5" s="25"/>
      <c r="O5" s="17"/>
      <c r="P5" s="25"/>
      <c r="Q5" s="64" t="s">
        <v>334</v>
      </c>
      <c r="R5" s="25"/>
      <c r="S5" s="64" t="s">
        <v>354</v>
      </c>
      <c r="T5" s="25"/>
      <c r="U5" s="64" t="s">
        <v>239</v>
      </c>
      <c r="V5" s="25"/>
      <c r="W5" s="64" t="s">
        <v>237</v>
      </c>
      <c r="X5" s="25"/>
      <c r="Y5" s="64"/>
      <c r="Z5" s="25"/>
      <c r="AA5" s="17"/>
      <c r="AB5" s="25"/>
      <c r="AC5" s="17"/>
    </row>
    <row r="6" spans="1:29" x14ac:dyDescent="0.45">
      <c r="A6" s="64" t="s">
        <v>209</v>
      </c>
      <c r="B6" s="25"/>
      <c r="C6" s="17" t="s">
        <v>301</v>
      </c>
      <c r="D6" s="25"/>
      <c r="E6" s="66" t="s">
        <v>312</v>
      </c>
      <c r="F6" s="25"/>
      <c r="G6" s="64" t="s">
        <v>317</v>
      </c>
      <c r="H6" s="25"/>
      <c r="I6" s="17"/>
      <c r="J6" s="25"/>
      <c r="K6" s="64" t="s">
        <v>360</v>
      </c>
      <c r="L6" s="25"/>
      <c r="M6" s="17"/>
      <c r="N6" s="25"/>
      <c r="O6" s="17"/>
      <c r="P6" s="25"/>
      <c r="Q6" s="64" t="s">
        <v>335</v>
      </c>
      <c r="R6" s="25"/>
      <c r="S6" s="17"/>
      <c r="T6" s="25"/>
      <c r="U6" s="64" t="s">
        <v>243</v>
      </c>
      <c r="V6" s="25"/>
      <c r="W6" s="17"/>
      <c r="X6" s="25"/>
      <c r="Y6" s="64"/>
      <c r="Z6" s="25"/>
      <c r="AA6" s="17"/>
      <c r="AB6" s="25"/>
      <c r="AC6" s="17"/>
    </row>
    <row r="7" spans="1:29" x14ac:dyDescent="0.45">
      <c r="A7" s="64" t="s">
        <v>210</v>
      </c>
      <c r="B7" s="25"/>
      <c r="C7" s="17" t="s">
        <v>303</v>
      </c>
      <c r="D7" s="25"/>
      <c r="E7" s="17"/>
      <c r="F7" s="25"/>
      <c r="G7" s="64" t="s">
        <v>318</v>
      </c>
      <c r="H7" s="25"/>
      <c r="I7" s="17"/>
      <c r="J7" s="25"/>
      <c r="K7" s="64" t="s">
        <v>361</v>
      </c>
      <c r="L7" s="25"/>
      <c r="M7" s="17"/>
      <c r="N7" s="25"/>
      <c r="O7" s="17"/>
      <c r="P7" s="25"/>
      <c r="Q7" s="64" t="s">
        <v>336</v>
      </c>
      <c r="R7" s="25"/>
      <c r="S7" s="17"/>
      <c r="T7" s="25"/>
      <c r="U7" s="64" t="s">
        <v>240</v>
      </c>
      <c r="V7" s="25"/>
      <c r="W7" s="17"/>
      <c r="X7" s="25"/>
      <c r="Y7" s="64"/>
      <c r="Z7" s="25"/>
      <c r="AA7" s="17"/>
      <c r="AB7" s="25"/>
      <c r="AC7" s="17"/>
    </row>
    <row r="8" spans="1:29" x14ac:dyDescent="0.45">
      <c r="A8" s="64" t="s">
        <v>211</v>
      </c>
      <c r="B8" s="25"/>
      <c r="C8" s="17" t="s">
        <v>304</v>
      </c>
      <c r="D8" s="25"/>
      <c r="E8" s="17"/>
      <c r="F8" s="25"/>
      <c r="G8" s="64" t="s">
        <v>319</v>
      </c>
      <c r="H8" s="25"/>
      <c r="I8" s="17"/>
      <c r="J8" s="25"/>
      <c r="K8" s="66" t="s">
        <v>362</v>
      </c>
      <c r="L8" s="25"/>
      <c r="M8" s="17"/>
      <c r="N8" s="25"/>
      <c r="O8" s="17"/>
      <c r="P8" s="25"/>
      <c r="Q8" s="64" t="s">
        <v>337</v>
      </c>
      <c r="R8" s="25"/>
      <c r="S8" s="17"/>
      <c r="T8" s="25"/>
      <c r="U8" s="64" t="s">
        <v>236</v>
      </c>
      <c r="V8" s="25"/>
      <c r="W8" s="17"/>
      <c r="X8" s="25"/>
      <c r="Y8" s="64"/>
      <c r="Z8" s="25"/>
      <c r="AA8" s="17"/>
      <c r="AB8" s="25"/>
      <c r="AC8" s="17"/>
    </row>
    <row r="9" spans="1:29" x14ac:dyDescent="0.45">
      <c r="A9" s="64" t="s">
        <v>212</v>
      </c>
      <c r="B9" s="25"/>
      <c r="C9" s="17" t="s">
        <v>305</v>
      </c>
      <c r="D9" s="25"/>
      <c r="E9" s="17"/>
      <c r="F9" s="25"/>
      <c r="G9" s="66" t="s">
        <v>320</v>
      </c>
      <c r="H9" s="25"/>
      <c r="I9" s="17"/>
      <c r="J9" s="25"/>
      <c r="K9" s="64" t="s">
        <v>363</v>
      </c>
      <c r="L9" s="25"/>
      <c r="M9" s="17"/>
      <c r="N9" s="25"/>
      <c r="O9" s="17"/>
      <c r="P9" s="25"/>
      <c r="Q9" s="64" t="s">
        <v>342</v>
      </c>
      <c r="R9" s="25"/>
      <c r="S9" s="17"/>
      <c r="T9" s="25"/>
      <c r="U9" s="64" t="s">
        <v>241</v>
      </c>
      <c r="V9" s="25"/>
      <c r="W9" s="17"/>
      <c r="X9" s="25"/>
      <c r="Y9" s="64"/>
      <c r="Z9" s="25"/>
      <c r="AA9" s="17"/>
      <c r="AB9" s="25"/>
      <c r="AC9" s="17"/>
    </row>
    <row r="10" spans="1:29" x14ac:dyDescent="0.45">
      <c r="A10" s="66" t="s">
        <v>213</v>
      </c>
      <c r="B10" s="25"/>
      <c r="C10" s="17" t="s">
        <v>306</v>
      </c>
      <c r="D10" s="25"/>
      <c r="E10" s="17"/>
      <c r="F10" s="25"/>
      <c r="G10" s="66" t="s">
        <v>321</v>
      </c>
      <c r="H10" s="25"/>
      <c r="I10" s="17"/>
      <c r="J10" s="25"/>
      <c r="K10" s="64" t="s">
        <v>364</v>
      </c>
      <c r="L10" s="25"/>
      <c r="M10" s="17"/>
      <c r="N10" s="25"/>
      <c r="O10" s="17"/>
      <c r="P10" s="25"/>
      <c r="Q10" s="64" t="s">
        <v>339</v>
      </c>
      <c r="R10" s="25"/>
      <c r="S10" s="17"/>
      <c r="T10" s="25"/>
      <c r="U10" s="66" t="s">
        <v>237</v>
      </c>
      <c r="V10" s="25"/>
      <c r="W10" s="17"/>
      <c r="X10" s="25"/>
      <c r="Y10" s="64"/>
      <c r="Z10" s="25"/>
      <c r="AA10" s="17"/>
      <c r="AB10" s="25"/>
      <c r="AC10" s="17"/>
    </row>
    <row r="11" spans="1:29" x14ac:dyDescent="0.45">
      <c r="A11" s="132" t="s">
        <v>214</v>
      </c>
      <c r="B11" s="25"/>
      <c r="C11" s="17" t="s">
        <v>307</v>
      </c>
      <c r="D11" s="25"/>
      <c r="E11" s="17"/>
      <c r="F11" s="25"/>
      <c r="G11" s="17"/>
      <c r="H11" s="25"/>
      <c r="I11" s="17"/>
      <c r="J11" s="25"/>
      <c r="K11" s="17"/>
      <c r="L11" s="25"/>
      <c r="M11" s="17"/>
      <c r="N11" s="25"/>
      <c r="O11" s="17"/>
      <c r="P11" s="25"/>
      <c r="Q11" s="64" t="s">
        <v>340</v>
      </c>
      <c r="R11" s="25"/>
      <c r="S11" s="17"/>
      <c r="T11" s="25"/>
      <c r="U11" s="17"/>
      <c r="V11" s="25"/>
      <c r="W11" s="17"/>
      <c r="X11" s="25"/>
      <c r="Y11" s="66"/>
      <c r="Z11" s="25"/>
      <c r="AA11" s="17"/>
      <c r="AB11" s="25"/>
      <c r="AC11" s="17"/>
    </row>
    <row r="12" spans="1:29" x14ac:dyDescent="0.45">
      <c r="A12" s="17"/>
      <c r="B12" s="25"/>
      <c r="C12" s="17"/>
      <c r="D12" s="25"/>
      <c r="E12" s="17"/>
      <c r="F12" s="25"/>
      <c r="G12" s="17"/>
      <c r="H12" s="25"/>
      <c r="I12" s="17"/>
      <c r="J12" s="25"/>
      <c r="K12" s="17"/>
      <c r="L12" s="25"/>
      <c r="M12" s="17"/>
      <c r="N12" s="25"/>
      <c r="O12" s="17"/>
      <c r="P12" s="25"/>
      <c r="Q12" s="64" t="s">
        <v>341</v>
      </c>
      <c r="R12" s="25"/>
      <c r="S12" s="17"/>
      <c r="T12" s="25"/>
      <c r="U12" s="17"/>
      <c r="V12" s="25"/>
      <c r="W12" s="17"/>
      <c r="X12" s="25"/>
      <c r="Y12" s="17"/>
      <c r="Z12" s="25"/>
      <c r="AA12" s="17"/>
      <c r="AB12" s="25"/>
      <c r="AC12" s="17"/>
    </row>
    <row r="13" spans="1:29" x14ac:dyDescent="0.45">
      <c r="A13" s="17"/>
      <c r="B13" s="25"/>
      <c r="C13" s="17"/>
      <c r="D13" s="25"/>
      <c r="E13" s="17"/>
      <c r="F13" s="25"/>
      <c r="G13" s="17"/>
      <c r="H13" s="25"/>
      <c r="I13" s="17"/>
      <c r="J13" s="25"/>
      <c r="K13" s="17"/>
      <c r="L13" s="25"/>
      <c r="M13" s="17"/>
      <c r="N13" s="25"/>
      <c r="O13" s="17"/>
      <c r="P13" s="25"/>
      <c r="Q13" s="64" t="s">
        <v>338</v>
      </c>
      <c r="R13" s="25"/>
      <c r="S13" s="17"/>
      <c r="T13" s="25"/>
      <c r="U13" s="17"/>
      <c r="V13" s="25"/>
      <c r="W13" s="17"/>
      <c r="X13" s="25"/>
      <c r="Y13" s="17"/>
      <c r="Z13" s="25"/>
      <c r="AA13" s="17"/>
      <c r="AB13" s="25"/>
      <c r="AC13" s="17"/>
    </row>
    <row r="14" spans="1:29" x14ac:dyDescent="0.45">
      <c r="A14" s="17"/>
      <c r="B14" s="25"/>
      <c r="C14" s="17"/>
      <c r="D14" s="25"/>
      <c r="E14" s="17"/>
      <c r="F14" s="25"/>
      <c r="G14" s="17"/>
      <c r="H14" s="25"/>
      <c r="I14" s="17"/>
      <c r="J14" s="25"/>
      <c r="K14" s="17"/>
      <c r="L14" s="25"/>
      <c r="M14" s="17"/>
      <c r="N14" s="25"/>
      <c r="O14" s="17"/>
      <c r="P14" s="25"/>
      <c r="Q14" s="64" t="s">
        <v>343</v>
      </c>
      <c r="R14" s="25"/>
      <c r="S14" s="17"/>
      <c r="T14" s="25"/>
      <c r="U14" s="17"/>
      <c r="V14" s="25"/>
      <c r="W14" s="17"/>
      <c r="X14" s="25"/>
      <c r="Y14" s="17"/>
      <c r="Z14" s="25"/>
      <c r="AA14" s="17"/>
      <c r="AB14" s="25"/>
      <c r="AC14" s="17"/>
    </row>
    <row r="15" spans="1:29" x14ac:dyDescent="0.45">
      <c r="A15" s="17"/>
      <c r="B15" s="25"/>
      <c r="C15" s="17"/>
      <c r="D15" s="25"/>
      <c r="E15" s="17"/>
      <c r="F15" s="25"/>
      <c r="G15" s="17"/>
      <c r="H15" s="25"/>
      <c r="I15" s="17"/>
      <c r="J15" s="25"/>
      <c r="K15" s="17"/>
      <c r="L15" s="25"/>
      <c r="M15" s="17"/>
      <c r="N15" s="25"/>
      <c r="O15" s="17"/>
      <c r="P15" s="25"/>
      <c r="Q15" s="64" t="s">
        <v>344</v>
      </c>
      <c r="R15" s="25"/>
      <c r="S15" s="17"/>
      <c r="T15" s="25"/>
      <c r="U15" s="17"/>
      <c r="V15" s="25"/>
      <c r="W15" s="17"/>
      <c r="X15" s="25"/>
      <c r="Y15" s="17"/>
      <c r="Z15" s="25"/>
      <c r="AA15" s="17"/>
      <c r="AB15" s="25"/>
      <c r="AC15" s="17"/>
    </row>
    <row r="16" spans="1:29" x14ac:dyDescent="0.45">
      <c r="A16" s="17"/>
      <c r="B16" s="25"/>
      <c r="C16" s="17"/>
      <c r="D16" s="25"/>
      <c r="E16" s="17"/>
      <c r="F16" s="25"/>
      <c r="G16" s="17"/>
      <c r="H16" s="25"/>
      <c r="I16" s="17"/>
      <c r="J16" s="25"/>
      <c r="K16" s="17"/>
      <c r="L16" s="25"/>
      <c r="M16" s="17"/>
      <c r="N16" s="25"/>
      <c r="O16" s="17"/>
      <c r="P16" s="25"/>
      <c r="Q16" s="64" t="s">
        <v>345</v>
      </c>
      <c r="R16" s="25"/>
      <c r="S16" s="17"/>
      <c r="T16" s="25"/>
      <c r="U16" s="17"/>
      <c r="V16" s="25"/>
      <c r="W16" s="17"/>
      <c r="X16" s="25"/>
      <c r="Y16" s="17"/>
      <c r="Z16" s="25"/>
      <c r="AA16" s="17"/>
      <c r="AB16" s="25"/>
      <c r="AC16" s="17"/>
    </row>
    <row r="17" spans="1:29" x14ac:dyDescent="0.45">
      <c r="A17" s="17"/>
      <c r="B17" s="25"/>
      <c r="C17" s="17"/>
      <c r="D17" s="25"/>
      <c r="E17" s="17"/>
      <c r="F17" s="25"/>
      <c r="G17" s="17"/>
      <c r="H17" s="25"/>
      <c r="I17" s="17"/>
      <c r="J17" s="25"/>
      <c r="K17" s="17"/>
      <c r="L17" s="25"/>
      <c r="M17" s="17"/>
      <c r="N17" s="25"/>
      <c r="O17" s="17"/>
      <c r="P17" s="25"/>
      <c r="Q17" s="64" t="s">
        <v>346</v>
      </c>
      <c r="R17" s="25"/>
      <c r="S17" s="17"/>
      <c r="T17" s="25"/>
      <c r="U17" s="17"/>
      <c r="V17" s="25"/>
      <c r="W17" s="17"/>
      <c r="X17" s="25"/>
      <c r="Y17" s="17"/>
      <c r="Z17" s="25"/>
      <c r="AA17" s="17"/>
      <c r="AB17" s="25"/>
      <c r="AC17" s="17"/>
    </row>
    <row r="18" spans="1:29" x14ac:dyDescent="0.45">
      <c r="A18" s="17"/>
      <c r="B18" s="25"/>
      <c r="C18" s="17"/>
      <c r="D18" s="25"/>
      <c r="E18" s="17"/>
      <c r="F18" s="25"/>
      <c r="G18" s="17"/>
      <c r="H18" s="25"/>
      <c r="I18" s="17"/>
      <c r="J18" s="25"/>
      <c r="K18" s="17"/>
      <c r="L18" s="25"/>
      <c r="M18" s="17"/>
      <c r="N18" s="25"/>
      <c r="O18" s="17"/>
      <c r="P18" s="25"/>
      <c r="Q18" s="64" t="s">
        <v>347</v>
      </c>
      <c r="R18" s="25"/>
      <c r="S18" s="17"/>
      <c r="T18" s="25"/>
      <c r="U18" s="17"/>
      <c r="V18" s="25"/>
      <c r="W18" s="17"/>
      <c r="X18" s="25"/>
      <c r="Y18" s="17"/>
      <c r="Z18" s="25"/>
      <c r="AA18" s="17"/>
      <c r="AB18" s="25"/>
      <c r="AC18" s="17"/>
    </row>
    <row r="19" spans="1:29" x14ac:dyDescent="0.45">
      <c r="A19" s="17"/>
      <c r="B19" s="25"/>
      <c r="C19" s="17"/>
      <c r="D19" s="25"/>
      <c r="E19" s="17"/>
      <c r="F19" s="25"/>
      <c r="G19" s="17"/>
      <c r="H19" s="25"/>
      <c r="I19" s="17"/>
      <c r="J19" s="25"/>
      <c r="K19" s="17"/>
      <c r="L19" s="25"/>
      <c r="M19" s="17"/>
      <c r="N19" s="25"/>
      <c r="O19" s="17"/>
      <c r="P19" s="25"/>
      <c r="Q19" s="64" t="s">
        <v>348</v>
      </c>
      <c r="R19" s="25"/>
      <c r="S19" s="17"/>
      <c r="T19" s="25"/>
      <c r="U19" s="17"/>
      <c r="V19" s="25"/>
      <c r="W19" s="17"/>
      <c r="X19" s="25"/>
      <c r="Y19" s="17"/>
      <c r="Z19" s="25"/>
      <c r="AA19" s="17"/>
      <c r="AB19" s="25"/>
      <c r="AC19" s="17"/>
    </row>
    <row r="20" spans="1:29" x14ac:dyDescent="0.45">
      <c r="A20" s="17"/>
      <c r="B20" s="25"/>
      <c r="C20" s="17"/>
      <c r="D20" s="25"/>
      <c r="E20" s="17"/>
      <c r="F20" s="25"/>
      <c r="G20" s="17"/>
      <c r="H20" s="25"/>
      <c r="I20" s="17"/>
      <c r="J20" s="25"/>
      <c r="K20" s="17"/>
      <c r="L20" s="25"/>
      <c r="M20" s="17"/>
      <c r="N20" s="25"/>
      <c r="O20" s="17"/>
      <c r="P20" s="25"/>
      <c r="Q20" s="66" t="s">
        <v>349</v>
      </c>
      <c r="R20" s="25"/>
      <c r="S20" s="17"/>
      <c r="T20" s="25"/>
      <c r="U20" s="17"/>
      <c r="V20" s="25"/>
      <c r="W20" s="17"/>
      <c r="X20" s="25"/>
      <c r="Y20" s="17"/>
      <c r="Z20" s="25"/>
      <c r="AA20" s="17"/>
      <c r="AB20" s="25"/>
      <c r="AC20" s="17"/>
    </row>
    <row r="21" spans="1:29" x14ac:dyDescent="0.45">
      <c r="A21" s="17"/>
      <c r="B21" s="25"/>
      <c r="C21" s="17"/>
      <c r="D21" s="25"/>
      <c r="E21" s="17"/>
      <c r="F21" s="25"/>
      <c r="G21" s="17"/>
      <c r="H21" s="25"/>
      <c r="I21" s="17"/>
      <c r="J21" s="25"/>
      <c r="K21" s="17"/>
      <c r="L21" s="25"/>
      <c r="M21" s="17"/>
      <c r="N21" s="25"/>
      <c r="O21" s="17"/>
      <c r="P21" s="25"/>
      <c r="Q21" s="66" t="s">
        <v>350</v>
      </c>
      <c r="R21" s="25"/>
      <c r="S21" s="17"/>
      <c r="T21" s="25"/>
      <c r="U21" s="17"/>
      <c r="V21" s="25"/>
      <c r="W21" s="17"/>
      <c r="X21" s="25"/>
      <c r="Y21" s="17"/>
      <c r="Z21" s="25"/>
      <c r="AA21" s="17"/>
      <c r="AB21" s="25"/>
      <c r="AC21" s="17"/>
    </row>
    <row r="22" spans="1:29" x14ac:dyDescent="0.45">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45">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45">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45">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4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4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45">
      <c r="A28" s="50" t="s">
        <v>368</v>
      </c>
      <c r="B28" s="25"/>
      <c r="C28" s="50" t="s">
        <v>436</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45">
      <c r="A29" s="9" t="s">
        <v>368</v>
      </c>
      <c r="B29" s="25"/>
      <c r="C29" s="9" t="s">
        <v>226</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4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4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4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45">
      <c r="A33" s="25"/>
      <c r="B33" s="25"/>
      <c r="C33" s="25"/>
      <c r="D33" s="25"/>
      <c r="E33" s="25"/>
      <c r="F33" s="25"/>
      <c r="G33" s="25"/>
      <c r="H33" s="25"/>
      <c r="I33" s="25"/>
      <c r="J33" s="1050" t="s">
        <v>437</v>
      </c>
      <c r="K33" s="1050"/>
      <c r="L33" s="25"/>
      <c r="M33" s="25"/>
      <c r="N33" s="25"/>
      <c r="O33" s="25"/>
      <c r="P33" s="25"/>
      <c r="Q33" s="25"/>
      <c r="R33" s="25"/>
      <c r="S33" s="25"/>
      <c r="T33" s="25"/>
      <c r="U33" s="25"/>
      <c r="V33" s="25"/>
      <c r="W33" s="25"/>
      <c r="X33" s="25"/>
      <c r="Y33" s="25"/>
      <c r="Z33" s="25"/>
      <c r="AA33" s="25"/>
      <c r="AB33" s="25"/>
      <c r="AC33" s="25"/>
    </row>
    <row r="34" spans="1:29" x14ac:dyDescent="0.45">
      <c r="A34" s="25"/>
      <c r="B34" s="1047" t="s">
        <v>295</v>
      </c>
      <c r="C34" s="1048"/>
      <c r="D34" s="1049"/>
      <c r="E34" s="25"/>
      <c r="F34" s="1047" t="s">
        <v>438</v>
      </c>
      <c r="G34" s="1048"/>
      <c r="H34" s="1049"/>
      <c r="I34" s="25"/>
      <c r="J34" s="50" t="s">
        <v>439</v>
      </c>
      <c r="K34" s="50" t="s">
        <v>440</v>
      </c>
      <c r="L34" s="25"/>
      <c r="M34" s="1053" t="s">
        <v>441</v>
      </c>
      <c r="N34" s="1053"/>
      <c r="O34" s="25"/>
      <c r="P34" s="25"/>
      <c r="Q34" s="1051" t="s">
        <v>442</v>
      </c>
      <c r="R34" s="1051"/>
      <c r="S34" s="1051"/>
      <c r="T34" s="1051"/>
      <c r="U34" s="25"/>
      <c r="V34" s="25"/>
      <c r="W34" s="25"/>
      <c r="X34" s="25"/>
      <c r="Y34" s="25"/>
      <c r="Z34" s="25"/>
      <c r="AA34" s="25"/>
      <c r="AB34" s="25"/>
      <c r="AC34" s="25"/>
    </row>
    <row r="35" spans="1:29" x14ac:dyDescent="0.45">
      <c r="A35" s="25"/>
      <c r="B35" s="49" t="s">
        <v>86</v>
      </c>
      <c r="C35" s="50" t="s">
        <v>443</v>
      </c>
      <c r="D35" s="50" t="s">
        <v>444</v>
      </c>
      <c r="E35" s="25"/>
      <c r="F35" s="50" t="s">
        <v>443</v>
      </c>
      <c r="G35" s="49" t="s">
        <v>445</v>
      </c>
      <c r="H35" s="50" t="s">
        <v>446</v>
      </c>
      <c r="I35" s="25"/>
      <c r="J35" s="9" t="s">
        <v>203</v>
      </c>
      <c r="K35" s="7">
        <v>1</v>
      </c>
      <c r="L35" s="25"/>
      <c r="M35" s="50" t="s">
        <v>447</v>
      </c>
      <c r="N35" s="50" t="s">
        <v>446</v>
      </c>
      <c r="O35" s="25"/>
      <c r="P35" s="25"/>
      <c r="Q35" s="50" t="s">
        <v>448</v>
      </c>
      <c r="R35" s="50" t="s">
        <v>449</v>
      </c>
      <c r="S35" s="50" t="s">
        <v>450</v>
      </c>
      <c r="T35" s="50" t="s">
        <v>451</v>
      </c>
      <c r="U35" s="25"/>
      <c r="V35" s="25"/>
      <c r="W35" s="236" t="s">
        <v>452</v>
      </c>
      <c r="X35" s="237" t="s">
        <v>453</v>
      </c>
      <c r="Y35" s="25"/>
      <c r="Z35" s="25"/>
      <c r="AA35" s="25"/>
      <c r="AB35" s="25"/>
      <c r="AC35" s="25"/>
    </row>
    <row r="36" spans="1:29" ht="43.5" customHeight="1" x14ac:dyDescent="0.45">
      <c r="A36" s="25"/>
      <c r="B36" s="9" t="s">
        <v>323</v>
      </c>
      <c r="C36" s="9" t="s">
        <v>454</v>
      </c>
      <c r="D36" s="7">
        <v>1.1499999999999999</v>
      </c>
      <c r="E36" s="25"/>
      <c r="F36" s="9" t="s">
        <v>95</v>
      </c>
      <c r="G36" s="9" t="s">
        <v>455</v>
      </c>
      <c r="H36" s="7">
        <v>1.1499999999999999</v>
      </c>
      <c r="I36" s="25"/>
      <c r="J36" s="9" t="s">
        <v>205</v>
      </c>
      <c r="K36" s="7">
        <v>0.67</v>
      </c>
      <c r="L36" s="25"/>
      <c r="M36" s="15" t="s">
        <v>456</v>
      </c>
      <c r="N36" s="15">
        <v>1</v>
      </c>
      <c r="O36" s="25"/>
      <c r="P36" s="25"/>
      <c r="Q36" s="7" t="s">
        <v>457</v>
      </c>
      <c r="R36" s="7">
        <v>0.3</v>
      </c>
      <c r="S36" s="7">
        <f>R36*12</f>
        <v>3.5999999999999996</v>
      </c>
      <c r="T36" s="10">
        <f>3.14*(S36*S36)/10000</f>
        <v>4.0694399999999997E-3</v>
      </c>
      <c r="U36" s="25"/>
      <c r="V36" s="25"/>
      <c r="W36" s="17" t="s">
        <v>458</v>
      </c>
      <c r="X36" s="17" t="s">
        <v>459</v>
      </c>
      <c r="Y36" s="25"/>
      <c r="Z36" s="25"/>
      <c r="AA36" s="25"/>
      <c r="AB36" s="25"/>
      <c r="AC36" s="25"/>
    </row>
    <row r="37" spans="1:29" ht="55.5" customHeight="1" x14ac:dyDescent="0.45">
      <c r="A37" s="25"/>
      <c r="B37" s="9" t="s">
        <v>205</v>
      </c>
      <c r="C37" s="9" t="s">
        <v>460</v>
      </c>
      <c r="D37" s="7">
        <v>1.1000000000000001</v>
      </c>
      <c r="E37" s="25"/>
      <c r="F37" s="9" t="s">
        <v>115</v>
      </c>
      <c r="G37" s="9" t="s">
        <v>461</v>
      </c>
      <c r="H37" s="7">
        <v>1</v>
      </c>
      <c r="I37" s="25"/>
      <c r="J37" s="9" t="s">
        <v>323</v>
      </c>
      <c r="K37" s="7">
        <v>0.33</v>
      </c>
      <c r="L37" s="25"/>
      <c r="M37" s="15" t="s">
        <v>462</v>
      </c>
      <c r="N37" s="15">
        <v>0.75</v>
      </c>
      <c r="O37" s="25"/>
      <c r="P37" s="25"/>
      <c r="Q37" s="7" t="s">
        <v>205</v>
      </c>
      <c r="R37" s="7">
        <v>0.9</v>
      </c>
      <c r="S37" s="7">
        <f>R37*12</f>
        <v>10.8</v>
      </c>
      <c r="T37" s="10">
        <f>3.14*(S37*S37)/10000</f>
        <v>3.6624960000000005E-2</v>
      </c>
      <c r="U37" s="25"/>
      <c r="V37" s="25"/>
      <c r="W37" s="17" t="s">
        <v>463</v>
      </c>
      <c r="X37" s="17" t="s">
        <v>464</v>
      </c>
      <c r="Y37" s="25"/>
      <c r="Z37" s="25"/>
      <c r="AA37" s="25"/>
      <c r="AB37" s="25"/>
      <c r="AC37" s="25"/>
    </row>
    <row r="38" spans="1:29" ht="28.5" x14ac:dyDescent="0.45">
      <c r="A38" s="25"/>
      <c r="B38" s="16" t="s">
        <v>203</v>
      </c>
      <c r="C38" s="9" t="s">
        <v>465</v>
      </c>
      <c r="D38" s="7">
        <v>1</v>
      </c>
      <c r="E38" s="25"/>
      <c r="F38" s="9"/>
      <c r="G38" s="9"/>
      <c r="H38" s="7"/>
      <c r="I38" s="25"/>
      <c r="J38" s="9" t="s">
        <v>466</v>
      </c>
      <c r="K38" s="7">
        <v>0.1</v>
      </c>
      <c r="L38" s="25"/>
      <c r="M38" s="15" t="s">
        <v>467</v>
      </c>
      <c r="N38" s="15">
        <v>0.5</v>
      </c>
      <c r="O38" s="25"/>
      <c r="P38" s="25"/>
      <c r="Q38" s="7" t="s">
        <v>468</v>
      </c>
      <c r="R38" s="7">
        <v>1.3</v>
      </c>
      <c r="S38" s="7">
        <f>R38*12</f>
        <v>15.600000000000001</v>
      </c>
      <c r="T38" s="10">
        <f>3.14*(S38*S38)/10000</f>
        <v>7.6415040000000017E-2</v>
      </c>
      <c r="U38" s="25"/>
      <c r="V38" s="25"/>
      <c r="W38" s="17" t="s">
        <v>469</v>
      </c>
      <c r="X38" s="17" t="s">
        <v>470</v>
      </c>
      <c r="Y38" s="25"/>
      <c r="Z38" s="25"/>
      <c r="AA38" s="25"/>
      <c r="AB38" s="25"/>
      <c r="AC38" s="25"/>
    </row>
    <row r="39" spans="1:29" x14ac:dyDescent="0.45">
      <c r="A39" s="25"/>
      <c r="B39" s="16" t="s">
        <v>371</v>
      </c>
      <c r="C39" s="9" t="s">
        <v>471</v>
      </c>
      <c r="D39" s="7">
        <v>1</v>
      </c>
      <c r="E39" s="25"/>
      <c r="F39" s="25"/>
      <c r="G39" s="25"/>
      <c r="H39" s="25"/>
      <c r="I39" s="25"/>
      <c r="J39" s="25"/>
      <c r="K39" s="25"/>
      <c r="L39" s="25"/>
      <c r="M39" s="25"/>
      <c r="N39" s="25"/>
      <c r="O39" s="25"/>
      <c r="P39" s="25"/>
      <c r="Q39" s="25"/>
      <c r="R39" s="25"/>
      <c r="S39" s="25"/>
      <c r="T39" s="25"/>
      <c r="U39" s="25"/>
      <c r="V39" s="25"/>
      <c r="W39" s="17" t="s">
        <v>472</v>
      </c>
      <c r="X39" s="17" t="s">
        <v>473</v>
      </c>
      <c r="Y39" s="25"/>
      <c r="Z39" s="25"/>
      <c r="AA39" s="25"/>
      <c r="AB39" s="25"/>
      <c r="AC39" s="25"/>
    </row>
    <row r="40" spans="1:29" x14ac:dyDescent="0.45">
      <c r="A40" s="25"/>
      <c r="B40" s="25"/>
      <c r="C40" s="25"/>
      <c r="D40" s="25"/>
      <c r="E40" s="25"/>
      <c r="F40" s="25"/>
      <c r="G40" s="25"/>
      <c r="H40" s="25"/>
      <c r="I40" s="25"/>
      <c r="J40" s="25"/>
      <c r="K40" s="25"/>
      <c r="L40" s="25"/>
      <c r="M40" s="25"/>
      <c r="N40" s="25"/>
      <c r="O40" s="25"/>
      <c r="P40" s="25"/>
      <c r="Q40" s="25"/>
      <c r="R40" s="25"/>
      <c r="S40" s="25"/>
      <c r="T40" s="25"/>
      <c r="U40" s="25"/>
      <c r="V40" s="25"/>
      <c r="W40" s="17" t="s">
        <v>474</v>
      </c>
      <c r="X40" s="17" t="s">
        <v>475</v>
      </c>
      <c r="Y40" s="25"/>
      <c r="Z40" s="25"/>
      <c r="AA40" s="25"/>
      <c r="AB40" s="25"/>
      <c r="AC40" s="25"/>
    </row>
    <row r="41" spans="1:29" x14ac:dyDescent="0.45">
      <c r="A41" s="25"/>
      <c r="B41" s="25"/>
      <c r="C41" s="25"/>
      <c r="D41" s="25"/>
      <c r="E41" s="25"/>
      <c r="F41" s="25"/>
      <c r="G41" s="25"/>
      <c r="H41" s="25"/>
      <c r="I41" s="25"/>
      <c r="J41" s="25"/>
      <c r="K41" s="25"/>
      <c r="L41" s="25"/>
      <c r="M41" s="25"/>
      <c r="N41" s="25"/>
      <c r="O41" s="25"/>
      <c r="P41" s="25"/>
      <c r="Q41" s="25"/>
      <c r="R41" s="25"/>
      <c r="S41" s="25"/>
      <c r="T41" s="25"/>
      <c r="U41" s="25"/>
      <c r="V41" s="25"/>
      <c r="W41" s="17" t="s">
        <v>476</v>
      </c>
      <c r="X41" s="17" t="s">
        <v>498</v>
      </c>
      <c r="Y41" s="25"/>
      <c r="Z41" s="25"/>
      <c r="AA41" s="25"/>
      <c r="AB41" s="25"/>
      <c r="AC41" s="25"/>
    </row>
    <row r="42" spans="1:29" x14ac:dyDescent="0.45">
      <c r="A42" s="25"/>
      <c r="B42" s="25"/>
      <c r="C42" s="25"/>
      <c r="D42" s="25"/>
      <c r="E42" s="25"/>
      <c r="F42" s="25"/>
      <c r="G42" s="25"/>
      <c r="H42" s="25"/>
      <c r="I42" s="25"/>
      <c r="J42" s="25"/>
      <c r="K42" s="25"/>
      <c r="L42" s="25"/>
      <c r="M42" s="25"/>
      <c r="N42" s="25"/>
      <c r="O42" s="25"/>
      <c r="P42" s="25"/>
      <c r="Q42" s="25"/>
      <c r="R42" s="25"/>
      <c r="S42" s="25"/>
      <c r="T42" s="25"/>
      <c r="U42" s="25"/>
      <c r="V42" s="25"/>
      <c r="W42" s="17" t="s">
        <v>477</v>
      </c>
      <c r="X42" s="17"/>
      <c r="Y42" s="25"/>
      <c r="Z42" s="25"/>
      <c r="AA42" s="25"/>
      <c r="AB42" s="25"/>
      <c r="AC42" s="25"/>
    </row>
    <row r="43" spans="1:29" x14ac:dyDescent="0.45">
      <c r="A43" s="25"/>
      <c r="B43" s="25"/>
      <c r="C43" s="25"/>
      <c r="D43" s="25"/>
      <c r="E43" s="25"/>
      <c r="F43" s="25"/>
      <c r="G43" s="25"/>
      <c r="H43" s="25"/>
      <c r="I43" s="25"/>
      <c r="J43" s="25"/>
      <c r="K43" s="25"/>
      <c r="L43" s="25"/>
      <c r="M43" s="25"/>
      <c r="N43" s="25"/>
      <c r="O43" s="25"/>
      <c r="P43" s="25"/>
      <c r="Q43" s="25"/>
      <c r="R43" s="25"/>
      <c r="S43" s="25"/>
      <c r="T43" s="25"/>
      <c r="U43" s="25"/>
      <c r="V43" s="25"/>
      <c r="W43" s="17" t="s">
        <v>478</v>
      </c>
      <c r="X43" s="17"/>
      <c r="Y43" s="25"/>
      <c r="Z43" s="25"/>
      <c r="AA43" s="25"/>
      <c r="AB43" s="25"/>
      <c r="AC43" s="25"/>
    </row>
    <row r="44" spans="1:29" x14ac:dyDescent="0.45">
      <c r="A44" s="25"/>
      <c r="B44" s="25"/>
      <c r="C44" s="25"/>
      <c r="D44" s="25"/>
      <c r="E44" s="25"/>
      <c r="F44" s="25"/>
      <c r="G44" s="25"/>
      <c r="H44" s="25"/>
      <c r="I44" s="25"/>
      <c r="J44" s="25"/>
      <c r="K44" s="25"/>
      <c r="L44" s="25"/>
      <c r="M44" s="25"/>
      <c r="N44" s="25"/>
      <c r="O44" s="25"/>
      <c r="P44" s="25"/>
      <c r="Q44" s="25"/>
      <c r="R44" s="25"/>
      <c r="S44" s="25"/>
      <c r="T44" s="25"/>
      <c r="U44" s="25"/>
      <c r="V44" s="25"/>
      <c r="W44" s="17" t="s">
        <v>479</v>
      </c>
      <c r="X44" s="17"/>
      <c r="Y44" s="25"/>
      <c r="Z44" s="25"/>
      <c r="AA44" s="25"/>
      <c r="AB44" s="25"/>
      <c r="AC44" s="25"/>
    </row>
    <row r="45" spans="1:29" ht="28.5" customHeight="1" x14ac:dyDescent="0.85">
      <c r="A45" s="25"/>
      <c r="B45" s="971" t="s">
        <v>480</v>
      </c>
      <c r="C45" s="1045"/>
      <c r="D45" s="1046"/>
      <c r="E45" s="25"/>
      <c r="F45" s="971" t="s">
        <v>481</v>
      </c>
      <c r="G45" s="1046"/>
      <c r="H45" s="25"/>
      <c r="I45" s="1052" t="s">
        <v>482</v>
      </c>
      <c r="J45" s="1052"/>
      <c r="K45" s="1052"/>
      <c r="L45" s="25"/>
      <c r="M45" s="1051" t="s">
        <v>93</v>
      </c>
      <c r="N45" s="1051"/>
      <c r="O45" s="1051"/>
      <c r="P45" s="1051"/>
      <c r="Q45" s="25"/>
      <c r="R45" s="25"/>
      <c r="S45" s="971" t="s">
        <v>483</v>
      </c>
      <c r="T45" s="1045"/>
      <c r="U45" s="1046"/>
      <c r="V45" s="25"/>
      <c r="W45" s="17" t="s">
        <v>484</v>
      </c>
      <c r="X45" s="17"/>
      <c r="Y45" s="25"/>
      <c r="Z45" s="25"/>
      <c r="AA45" s="25"/>
      <c r="AB45" s="25"/>
      <c r="AC45" s="25"/>
    </row>
    <row r="46" spans="1:29" ht="42.75" x14ac:dyDescent="0.45">
      <c r="A46" s="25"/>
      <c r="B46" s="49" t="s">
        <v>485</v>
      </c>
      <c r="C46" s="49" t="s">
        <v>486</v>
      </c>
      <c r="D46" s="49" t="s">
        <v>487</v>
      </c>
      <c r="E46" s="25"/>
      <c r="F46" s="49" t="s">
        <v>488</v>
      </c>
      <c r="G46" s="49" t="s">
        <v>489</v>
      </c>
      <c r="H46" s="25"/>
      <c r="I46" s="49" t="s">
        <v>490</v>
      </c>
      <c r="J46" s="49" t="s">
        <v>491</v>
      </c>
      <c r="K46" s="49" t="s">
        <v>492</v>
      </c>
      <c r="L46" s="25"/>
      <c r="M46" s="50" t="s">
        <v>448</v>
      </c>
      <c r="N46" s="50" t="s">
        <v>449</v>
      </c>
      <c r="O46" s="50" t="s">
        <v>450</v>
      </c>
      <c r="P46" s="50" t="s">
        <v>493</v>
      </c>
      <c r="Q46" s="25"/>
      <c r="R46" s="25"/>
      <c r="S46" s="49" t="s">
        <v>485</v>
      </c>
      <c r="T46" s="49" t="s">
        <v>486</v>
      </c>
      <c r="U46" s="49" t="s">
        <v>487</v>
      </c>
      <c r="V46" s="25"/>
      <c r="W46" s="17" t="s">
        <v>494</v>
      </c>
      <c r="X46" s="17"/>
      <c r="Y46" s="25"/>
      <c r="Z46" s="25"/>
      <c r="AA46" s="25"/>
      <c r="AB46" s="25"/>
      <c r="AC46" s="25"/>
    </row>
    <row r="47" spans="1:29" ht="57" x14ac:dyDescent="0.45">
      <c r="A47" s="25"/>
      <c r="B47" s="7" t="s">
        <v>205</v>
      </c>
      <c r="C47" s="7">
        <v>4</v>
      </c>
      <c r="D47" s="21" t="s">
        <v>297</v>
      </c>
      <c r="E47" s="25"/>
      <c r="F47" s="7" t="s">
        <v>387</v>
      </c>
      <c r="G47" s="7">
        <v>3</v>
      </c>
      <c r="H47" s="25"/>
      <c r="I47" s="23">
        <v>0</v>
      </c>
      <c r="J47" s="23">
        <v>100</v>
      </c>
      <c r="K47" s="24">
        <v>1</v>
      </c>
      <c r="L47" s="25"/>
      <c r="M47" s="7" t="s">
        <v>457</v>
      </c>
      <c r="N47" s="7">
        <v>0.3</v>
      </c>
      <c r="O47" s="7">
        <f>N47*12</f>
        <v>3.5999999999999996</v>
      </c>
      <c r="P47" s="10">
        <f>3.14*(O47*O47)</f>
        <v>40.694399999999995</v>
      </c>
      <c r="Q47" s="25"/>
      <c r="R47" s="25"/>
      <c r="S47" s="7" t="s">
        <v>205</v>
      </c>
      <c r="T47" s="7">
        <v>4</v>
      </c>
      <c r="U47" s="9" t="s">
        <v>297</v>
      </c>
      <c r="V47" s="25"/>
      <c r="W47" s="17" t="s">
        <v>495</v>
      </c>
      <c r="X47" s="17"/>
      <c r="Y47" s="25"/>
      <c r="Z47" s="25"/>
      <c r="AA47" s="25"/>
      <c r="AB47" s="25"/>
      <c r="AC47" s="25"/>
    </row>
    <row r="48" spans="1:29" ht="42.75" x14ac:dyDescent="0.45">
      <c r="A48" s="25"/>
      <c r="B48" s="7" t="s">
        <v>203</v>
      </c>
      <c r="C48" s="7">
        <v>2</v>
      </c>
      <c r="D48" s="21" t="s">
        <v>302</v>
      </c>
      <c r="E48" s="25"/>
      <c r="F48" s="7" t="s">
        <v>114</v>
      </c>
      <c r="G48" s="7">
        <v>2</v>
      </c>
      <c r="H48" s="25"/>
      <c r="I48" s="23">
        <v>1</v>
      </c>
      <c r="J48" s="23">
        <v>96.5</v>
      </c>
      <c r="K48" s="24">
        <v>0.96499999999999997</v>
      </c>
      <c r="L48" s="25"/>
      <c r="M48" s="7" t="s">
        <v>205</v>
      </c>
      <c r="N48" s="7">
        <v>0.6</v>
      </c>
      <c r="O48" s="7">
        <v>7.2</v>
      </c>
      <c r="P48" s="10">
        <f>3.14*(O48*O48)</f>
        <v>162.77760000000001</v>
      </c>
      <c r="Q48" s="25"/>
      <c r="R48" s="25"/>
      <c r="S48" s="7" t="s">
        <v>203</v>
      </c>
      <c r="T48" s="7">
        <v>2</v>
      </c>
      <c r="U48" s="9" t="s">
        <v>302</v>
      </c>
      <c r="V48" s="25"/>
      <c r="W48" s="17" t="s">
        <v>496</v>
      </c>
      <c r="X48" s="17"/>
      <c r="Y48" s="25"/>
      <c r="Z48" s="25"/>
      <c r="AA48" s="25"/>
      <c r="AB48" s="25"/>
      <c r="AC48" s="25"/>
    </row>
    <row r="49" spans="1:29" ht="28.5" x14ac:dyDescent="0.45">
      <c r="A49" s="25"/>
      <c r="B49" s="7" t="s">
        <v>331</v>
      </c>
      <c r="C49" s="7">
        <v>0</v>
      </c>
      <c r="D49" s="21" t="s">
        <v>332</v>
      </c>
      <c r="E49" s="25"/>
      <c r="F49" s="9" t="s">
        <v>388</v>
      </c>
      <c r="G49" s="7">
        <v>1</v>
      </c>
      <c r="H49" s="25"/>
      <c r="I49" s="23">
        <v>2</v>
      </c>
      <c r="J49" s="23">
        <v>93.122500000000002</v>
      </c>
      <c r="K49" s="24">
        <v>0.93122499999999997</v>
      </c>
      <c r="L49" s="25"/>
      <c r="M49" s="7" t="s">
        <v>468</v>
      </c>
      <c r="N49" s="7">
        <v>0.9</v>
      </c>
      <c r="O49" s="7">
        <v>10.8</v>
      </c>
      <c r="P49" s="10">
        <f>3.14*(O49*O49)</f>
        <v>366.24960000000004</v>
      </c>
      <c r="Q49" s="25"/>
      <c r="R49" s="25"/>
      <c r="S49" s="7" t="s">
        <v>331</v>
      </c>
      <c r="T49" s="7">
        <v>1</v>
      </c>
      <c r="U49" s="9" t="s">
        <v>332</v>
      </c>
      <c r="V49" s="25"/>
      <c r="W49" s="17" t="s">
        <v>497</v>
      </c>
      <c r="X49" s="17"/>
      <c r="Y49" s="25"/>
      <c r="Z49" s="25"/>
      <c r="AA49" s="25"/>
      <c r="AB49" s="25"/>
      <c r="AC49" s="25"/>
    </row>
    <row r="50" spans="1:29" ht="57" x14ac:dyDescent="0.45">
      <c r="A50" s="25"/>
      <c r="B50" s="7" t="s">
        <v>323</v>
      </c>
      <c r="C50" s="7">
        <v>6</v>
      </c>
      <c r="D50" s="21" t="s">
        <v>297</v>
      </c>
      <c r="E50" s="25"/>
      <c r="F50" s="9" t="s">
        <v>389</v>
      </c>
      <c r="G50" s="7">
        <v>1</v>
      </c>
      <c r="H50" s="25"/>
      <c r="I50" s="23">
        <v>3</v>
      </c>
      <c r="J50" s="23">
        <v>89.863212500000003</v>
      </c>
      <c r="K50" s="24">
        <v>0.898632125</v>
      </c>
      <c r="L50" s="25"/>
      <c r="M50" s="7" t="s">
        <v>499</v>
      </c>
      <c r="N50" s="7">
        <v>1.3</v>
      </c>
      <c r="O50" s="7">
        <v>15.6</v>
      </c>
      <c r="P50" s="10">
        <f>3.14*(O50*O50)</f>
        <v>764.15039999999999</v>
      </c>
      <c r="Q50" s="25"/>
      <c r="R50" s="25"/>
      <c r="S50" s="7" t="s">
        <v>323</v>
      </c>
      <c r="T50" s="7">
        <v>6</v>
      </c>
      <c r="U50" s="9" t="s">
        <v>297</v>
      </c>
      <c r="V50" s="25"/>
      <c r="W50" s="17" t="s">
        <v>500</v>
      </c>
      <c r="X50" s="17"/>
      <c r="Y50" s="25"/>
      <c r="Z50" s="25"/>
      <c r="AA50" s="25"/>
      <c r="AB50" s="25"/>
      <c r="AC50" s="25"/>
    </row>
    <row r="51" spans="1:29" x14ac:dyDescent="0.45">
      <c r="A51" s="25"/>
      <c r="B51" s="25"/>
      <c r="C51" s="25"/>
      <c r="D51" s="25"/>
      <c r="E51" s="25"/>
      <c r="F51" s="7" t="s">
        <v>390</v>
      </c>
      <c r="G51" s="7">
        <v>0</v>
      </c>
      <c r="H51" s="25"/>
      <c r="I51" s="23">
        <v>4</v>
      </c>
      <c r="J51" s="23">
        <v>86.718000059999994</v>
      </c>
      <c r="K51" s="24">
        <v>0.86718000059999989</v>
      </c>
      <c r="L51" s="25"/>
      <c r="M51" s="25"/>
      <c r="N51" s="25"/>
      <c r="O51" s="25"/>
      <c r="P51" s="25"/>
      <c r="Q51" s="25"/>
      <c r="R51" s="25"/>
      <c r="S51" s="25"/>
      <c r="T51" s="25"/>
      <c r="U51" s="25"/>
      <c r="V51" s="25"/>
      <c r="W51" s="17" t="s">
        <v>501</v>
      </c>
      <c r="X51" s="17"/>
      <c r="Y51" s="25"/>
      <c r="Z51" s="25"/>
      <c r="AA51" s="25"/>
      <c r="AB51" s="25"/>
      <c r="AC51" s="25"/>
    </row>
    <row r="52" spans="1:29" x14ac:dyDescent="0.45">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502</v>
      </c>
      <c r="X52" s="17"/>
      <c r="Y52" s="25"/>
      <c r="Z52" s="25"/>
      <c r="AA52" s="25"/>
      <c r="AB52" s="25"/>
      <c r="AC52" s="25"/>
    </row>
    <row r="53" spans="1:29" x14ac:dyDescent="0.45">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503</v>
      </c>
      <c r="X53" s="17"/>
      <c r="Y53" s="25"/>
      <c r="Z53" s="25"/>
      <c r="AA53" s="25"/>
      <c r="AB53" s="25"/>
      <c r="AC53" s="25"/>
    </row>
    <row r="54" spans="1:29" x14ac:dyDescent="0.45">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504</v>
      </c>
      <c r="X54" s="17"/>
      <c r="Y54" s="25"/>
      <c r="Z54" s="25"/>
      <c r="AA54" s="25"/>
      <c r="AB54" s="25"/>
      <c r="AC54" s="25"/>
    </row>
    <row r="55" spans="1:29" ht="14.65" customHeight="1" x14ac:dyDescent="0.45">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505</v>
      </c>
      <c r="X55" s="17"/>
      <c r="Y55" s="25"/>
      <c r="Z55" s="25"/>
      <c r="AA55" s="25"/>
      <c r="AB55" s="25"/>
      <c r="AC55" s="25"/>
    </row>
    <row r="56" spans="1:29" x14ac:dyDescent="0.45">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506</v>
      </c>
      <c r="X56" s="17"/>
      <c r="Y56" s="25"/>
      <c r="Z56" s="25"/>
      <c r="AA56" s="25"/>
      <c r="AB56" s="25"/>
      <c r="AC56" s="25"/>
    </row>
    <row r="57" spans="1:29" x14ac:dyDescent="0.45">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507</v>
      </c>
      <c r="X57" s="17"/>
      <c r="Y57" s="25"/>
      <c r="Z57" s="25"/>
      <c r="AA57" s="25"/>
      <c r="AB57" s="25"/>
      <c r="AC57" s="25"/>
    </row>
    <row r="58" spans="1:29" x14ac:dyDescent="0.45">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508</v>
      </c>
      <c r="X58" s="17"/>
      <c r="Y58" s="25"/>
      <c r="Z58" s="25"/>
      <c r="AA58" s="25"/>
      <c r="AB58" s="25"/>
      <c r="AC58" s="25"/>
    </row>
    <row r="59" spans="1:29" x14ac:dyDescent="0.45">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509</v>
      </c>
      <c r="X59" s="17"/>
      <c r="Y59" s="25"/>
      <c r="Z59" s="25"/>
      <c r="AA59" s="25"/>
      <c r="AB59" s="25"/>
      <c r="AC59" s="25"/>
    </row>
    <row r="60" spans="1:29" x14ac:dyDescent="0.45">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510</v>
      </c>
      <c r="X60" s="17"/>
      <c r="Y60" s="25"/>
      <c r="Z60" s="25"/>
      <c r="AA60" s="25"/>
      <c r="AB60" s="25"/>
      <c r="AC60" s="25"/>
    </row>
    <row r="61" spans="1:29" x14ac:dyDescent="0.45">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511</v>
      </c>
      <c r="X61" s="17"/>
      <c r="Y61" s="25"/>
      <c r="Z61" s="25"/>
      <c r="AA61" s="25"/>
      <c r="AB61" s="25"/>
      <c r="AC61" s="25"/>
    </row>
    <row r="62" spans="1:29" x14ac:dyDescent="0.45">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512</v>
      </c>
      <c r="X62" s="17"/>
      <c r="Y62" s="25"/>
      <c r="Z62" s="25"/>
      <c r="AA62" s="25"/>
      <c r="AB62" s="25"/>
      <c r="AC62" s="25"/>
    </row>
    <row r="63" spans="1:29" x14ac:dyDescent="0.45">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513</v>
      </c>
      <c r="X63" s="17"/>
      <c r="Y63" s="25"/>
      <c r="Z63" s="25"/>
      <c r="AA63" s="25"/>
      <c r="AB63" s="25"/>
      <c r="AC63" s="25"/>
    </row>
    <row r="64" spans="1:29" x14ac:dyDescent="0.45">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514</v>
      </c>
      <c r="X64" s="17"/>
      <c r="Y64" s="25"/>
      <c r="Z64" s="25"/>
      <c r="AA64" s="25"/>
      <c r="AB64" s="25"/>
      <c r="AC64" s="25"/>
    </row>
    <row r="65" spans="1:29" x14ac:dyDescent="0.45">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515</v>
      </c>
      <c r="X65" s="17"/>
      <c r="Y65" s="25"/>
      <c r="Z65" s="25"/>
      <c r="AA65" s="25"/>
      <c r="AB65" s="25"/>
      <c r="AC65" s="25"/>
    </row>
    <row r="66" spans="1:29" x14ac:dyDescent="0.45">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516</v>
      </c>
      <c r="X66" s="17"/>
      <c r="Y66" s="25"/>
      <c r="Z66" s="25"/>
      <c r="AA66" s="25"/>
      <c r="AB66" s="25"/>
      <c r="AC66" s="25"/>
    </row>
    <row r="67" spans="1:29" x14ac:dyDescent="0.45">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517</v>
      </c>
      <c r="X67" s="17"/>
      <c r="Y67" s="25"/>
      <c r="Z67" s="25"/>
      <c r="AA67" s="25"/>
      <c r="AB67" s="25"/>
      <c r="AC67" s="25"/>
    </row>
    <row r="68" spans="1:29" x14ac:dyDescent="0.45">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518</v>
      </c>
      <c r="X68" s="17"/>
      <c r="Y68" s="25"/>
      <c r="Z68" s="25"/>
      <c r="AA68" s="25"/>
      <c r="AB68" s="25"/>
      <c r="AC68" s="25"/>
    </row>
    <row r="69" spans="1:29" x14ac:dyDescent="0.45">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519</v>
      </c>
      <c r="X69" s="17"/>
      <c r="Y69" s="25"/>
      <c r="Z69" s="25"/>
      <c r="AA69" s="25"/>
      <c r="AB69" s="25"/>
      <c r="AC69" s="25"/>
    </row>
    <row r="70" spans="1:29" x14ac:dyDescent="0.45">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520</v>
      </c>
      <c r="X70" s="17"/>
      <c r="Y70" s="25"/>
      <c r="Z70" s="25"/>
      <c r="AA70" s="25"/>
      <c r="AB70" s="25"/>
      <c r="AC70" s="25"/>
    </row>
    <row r="71" spans="1:29" x14ac:dyDescent="0.45">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521</v>
      </c>
      <c r="X71" s="17"/>
      <c r="Y71" s="25"/>
      <c r="Z71" s="25"/>
      <c r="AA71" s="25"/>
      <c r="AB71" s="25"/>
      <c r="AC71" s="25"/>
    </row>
    <row r="72" spans="1:29" x14ac:dyDescent="0.45">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522</v>
      </c>
      <c r="X72" s="17"/>
      <c r="Y72" s="25"/>
      <c r="Z72" s="25"/>
      <c r="AA72" s="25"/>
      <c r="AB72" s="25"/>
      <c r="AC72" s="25"/>
    </row>
    <row r="73" spans="1:29" x14ac:dyDescent="0.45">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523</v>
      </c>
      <c r="X73" s="17"/>
      <c r="Y73" s="25"/>
      <c r="Z73" s="25"/>
      <c r="AA73" s="25"/>
      <c r="AB73" s="25"/>
      <c r="AC73" s="25"/>
    </row>
    <row r="74" spans="1:29" x14ac:dyDescent="0.45">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524</v>
      </c>
      <c r="X74" s="17"/>
      <c r="Y74" s="25"/>
      <c r="Z74" s="25"/>
      <c r="AA74" s="25"/>
      <c r="AB74" s="25"/>
      <c r="AC74" s="25"/>
    </row>
    <row r="75" spans="1:29" x14ac:dyDescent="0.45">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525</v>
      </c>
      <c r="X75" s="17"/>
      <c r="Y75" s="25"/>
      <c r="Z75" s="25"/>
      <c r="AA75" s="25"/>
      <c r="AB75" s="25"/>
      <c r="AC75" s="25"/>
    </row>
    <row r="76" spans="1:29" x14ac:dyDescent="0.45">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526</v>
      </c>
      <c r="X76" s="17"/>
      <c r="Y76" s="25"/>
      <c r="Z76" s="25"/>
      <c r="AA76" s="25"/>
      <c r="AB76" s="25"/>
      <c r="AC76" s="25"/>
    </row>
    <row r="77" spans="1:29" x14ac:dyDescent="0.45">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527</v>
      </c>
      <c r="X77" s="17"/>
      <c r="Y77" s="25"/>
      <c r="Z77" s="25"/>
      <c r="AA77" s="25"/>
      <c r="AB77" s="25"/>
      <c r="AC77" s="25"/>
    </row>
    <row r="78" spans="1:29" x14ac:dyDescent="0.45">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528</v>
      </c>
      <c r="X78" s="17"/>
      <c r="Y78" s="25"/>
      <c r="Z78" s="25"/>
      <c r="AA78" s="25"/>
      <c r="AB78" s="25"/>
      <c r="AC78" s="25"/>
    </row>
    <row r="79" spans="1:29" x14ac:dyDescent="0.45">
      <c r="A79" s="25"/>
      <c r="B79" s="25"/>
      <c r="C79" s="25"/>
      <c r="D79" s="25"/>
      <c r="E79" s="25"/>
      <c r="F79" s="25"/>
      <c r="G79" s="25"/>
      <c r="H79" s="25"/>
      <c r="I79" s="23" t="s">
        <v>409</v>
      </c>
      <c r="J79" s="19">
        <v>31.979673609999999</v>
      </c>
      <c r="K79" s="24">
        <v>0.31979673609999998</v>
      </c>
      <c r="L79" s="25"/>
      <c r="M79" s="25"/>
      <c r="N79" s="25"/>
      <c r="O79" s="25"/>
      <c r="P79" s="25"/>
      <c r="Q79" s="25"/>
      <c r="R79" s="25"/>
      <c r="S79" s="25"/>
      <c r="T79" s="25"/>
      <c r="U79" s="25"/>
      <c r="V79" s="25"/>
      <c r="W79" s="17" t="s">
        <v>529</v>
      </c>
      <c r="X79" s="17"/>
      <c r="Y79" s="25"/>
      <c r="Z79" s="25"/>
      <c r="AA79" s="25"/>
      <c r="AB79" s="25"/>
      <c r="AC79" s="25"/>
    </row>
    <row r="80" spans="1:29" x14ac:dyDescent="0.45">
      <c r="A80" s="25"/>
      <c r="B80" s="25"/>
      <c r="C80" s="25"/>
      <c r="D80" s="25"/>
      <c r="E80" s="25"/>
      <c r="F80" s="25"/>
      <c r="G80" s="25"/>
      <c r="H80" s="25"/>
      <c r="I80" s="9" t="s">
        <v>392</v>
      </c>
      <c r="J80" s="9" t="s">
        <v>371</v>
      </c>
      <c r="K80" s="9" t="s">
        <v>371</v>
      </c>
      <c r="L80" s="25"/>
      <c r="M80" s="25"/>
      <c r="N80" s="25"/>
      <c r="O80" s="25"/>
      <c r="P80" s="25"/>
      <c r="Q80" s="25"/>
      <c r="R80" s="25"/>
      <c r="S80" s="25"/>
      <c r="T80" s="25"/>
      <c r="U80" s="25"/>
      <c r="V80" s="25"/>
      <c r="W80" s="17" t="s">
        <v>530</v>
      </c>
      <c r="X80" s="17"/>
      <c r="Y80" s="25"/>
      <c r="Z80" s="25"/>
      <c r="AA80" s="25"/>
      <c r="AB80" s="25"/>
      <c r="AC80" s="25"/>
    </row>
    <row r="81" spans="1:29" x14ac:dyDescent="0.45">
      <c r="A81" s="25"/>
      <c r="B81" s="25"/>
      <c r="C81" s="25"/>
      <c r="D81" s="25"/>
      <c r="E81" s="25"/>
      <c r="F81" s="25"/>
      <c r="G81" s="25"/>
      <c r="H81" s="25"/>
      <c r="I81" s="25"/>
      <c r="J81" s="25"/>
      <c r="K81" s="25"/>
      <c r="L81" s="25"/>
      <c r="M81" s="25"/>
      <c r="N81" s="25"/>
      <c r="O81" s="25"/>
      <c r="P81" s="25"/>
      <c r="Q81" s="25"/>
      <c r="R81" s="25"/>
      <c r="S81" s="25"/>
      <c r="T81" s="25"/>
      <c r="U81" s="25"/>
      <c r="V81" s="25"/>
      <c r="W81" s="17" t="s">
        <v>531</v>
      </c>
      <c r="X81" s="17"/>
      <c r="Y81" s="25"/>
      <c r="Z81" s="25"/>
      <c r="AA81" s="25"/>
      <c r="AB81" s="25"/>
      <c r="AC81" s="25"/>
    </row>
    <row r="82" spans="1:29" x14ac:dyDescent="0.45">
      <c r="A82" s="25"/>
      <c r="B82" s="25"/>
      <c r="C82" s="25"/>
      <c r="D82" s="25"/>
      <c r="E82" s="25"/>
      <c r="F82" s="25"/>
      <c r="G82" s="25"/>
      <c r="H82" s="25"/>
      <c r="I82" s="25"/>
      <c r="J82" s="25"/>
      <c r="K82" s="25"/>
      <c r="L82" s="25"/>
      <c r="M82" s="25"/>
      <c r="N82" s="25"/>
      <c r="O82" s="25"/>
      <c r="P82" s="25"/>
      <c r="Q82" s="25"/>
      <c r="R82" s="25"/>
      <c r="S82" s="25"/>
      <c r="T82" s="25"/>
      <c r="U82" s="25"/>
      <c r="V82" s="25"/>
      <c r="W82" s="17" t="s">
        <v>532</v>
      </c>
      <c r="X82" s="17"/>
      <c r="Y82" s="25"/>
      <c r="Z82" s="25"/>
      <c r="AA82" s="25"/>
      <c r="AB82" s="25"/>
      <c r="AC82" s="25"/>
    </row>
    <row r="83" spans="1:29" x14ac:dyDescent="0.45">
      <c r="A83" s="25"/>
      <c r="B83" s="25"/>
      <c r="C83" s="25"/>
      <c r="D83" s="25"/>
      <c r="E83" s="25"/>
      <c r="F83" s="25"/>
      <c r="G83" s="25"/>
      <c r="H83" s="25"/>
      <c r="I83" s="25"/>
      <c r="J83" s="25"/>
      <c r="K83" s="25"/>
      <c r="L83" s="25"/>
      <c r="M83" s="25"/>
      <c r="N83" s="25"/>
      <c r="O83" s="25"/>
      <c r="P83" s="25"/>
      <c r="Q83" s="25"/>
      <c r="R83" s="25"/>
      <c r="S83" s="25"/>
      <c r="T83" s="25"/>
      <c r="U83" s="25"/>
      <c r="V83" s="25"/>
      <c r="W83" s="17" t="s">
        <v>533</v>
      </c>
      <c r="X83" s="17"/>
      <c r="Y83" s="25"/>
      <c r="Z83" s="25"/>
      <c r="AA83" s="25"/>
      <c r="AB83" s="25"/>
      <c r="AC83" s="25"/>
    </row>
    <row r="84" spans="1:29" x14ac:dyDescent="0.45">
      <c r="A84" s="25"/>
      <c r="B84" s="25"/>
      <c r="C84" s="25"/>
      <c r="D84" s="25"/>
      <c r="E84" s="25"/>
      <c r="F84" s="25"/>
      <c r="G84" s="25"/>
      <c r="H84" s="25"/>
      <c r="I84" s="25"/>
      <c r="J84" s="25"/>
      <c r="K84" s="25"/>
      <c r="L84" s="25"/>
      <c r="M84" s="25"/>
      <c r="N84" s="25"/>
      <c r="O84" s="25"/>
      <c r="P84" s="25"/>
      <c r="Q84" s="25"/>
      <c r="R84" s="25"/>
      <c r="S84" s="25"/>
      <c r="T84" s="25"/>
      <c r="U84" s="25"/>
      <c r="V84" s="25"/>
      <c r="W84" s="17" t="s">
        <v>534</v>
      </c>
      <c r="X84" s="17"/>
      <c r="Y84" s="25"/>
      <c r="Z84" s="25"/>
      <c r="AA84" s="25"/>
      <c r="AB84" s="25"/>
      <c r="AC84" s="25"/>
    </row>
    <row r="85" spans="1:29" x14ac:dyDescent="0.45">
      <c r="A85" s="25"/>
      <c r="B85" s="25"/>
      <c r="C85" s="25"/>
      <c r="D85" s="25"/>
      <c r="E85" s="25"/>
      <c r="F85" s="25"/>
      <c r="G85" s="25"/>
      <c r="H85" s="25"/>
      <c r="I85" s="25"/>
      <c r="J85" s="25"/>
      <c r="K85" s="25"/>
      <c r="L85" s="25"/>
      <c r="M85" s="25"/>
      <c r="N85" s="25"/>
      <c r="O85" s="25"/>
      <c r="P85" s="25"/>
      <c r="Q85" s="25"/>
      <c r="R85" s="25"/>
      <c r="S85" s="25"/>
      <c r="T85" s="25"/>
      <c r="U85" s="25"/>
      <c r="V85" s="25"/>
      <c r="W85" s="17" t="s">
        <v>535</v>
      </c>
      <c r="X85" s="17"/>
      <c r="Y85" s="25"/>
      <c r="Z85" s="25"/>
      <c r="AA85" s="25"/>
      <c r="AB85" s="25"/>
      <c r="AC85" s="25"/>
    </row>
    <row r="86" spans="1:29" x14ac:dyDescent="0.45">
      <c r="A86" s="25"/>
      <c r="B86" s="25"/>
      <c r="C86" s="25"/>
      <c r="D86" s="25"/>
      <c r="E86" s="25"/>
      <c r="F86" s="25"/>
      <c r="G86" s="25"/>
      <c r="H86" s="25"/>
      <c r="I86" s="25"/>
      <c r="J86" s="25"/>
      <c r="K86" s="25"/>
      <c r="L86" s="25"/>
      <c r="M86" s="25"/>
      <c r="N86" s="25"/>
      <c r="O86" s="25"/>
      <c r="P86" s="25"/>
      <c r="Q86" s="25"/>
      <c r="R86" s="25"/>
      <c r="S86" s="25"/>
      <c r="T86" s="25"/>
      <c r="U86" s="25"/>
      <c r="V86" s="25"/>
      <c r="W86" s="17" t="s">
        <v>536</v>
      </c>
      <c r="X86" s="17"/>
      <c r="Y86" s="25"/>
      <c r="Z86" s="25"/>
      <c r="AA86" s="25"/>
      <c r="AB86" s="25"/>
      <c r="AC86" s="25"/>
    </row>
    <row r="87" spans="1:29" x14ac:dyDescent="0.45">
      <c r="A87" s="25"/>
      <c r="B87" s="25"/>
      <c r="C87" s="25"/>
      <c r="D87" s="25"/>
      <c r="E87" s="25"/>
      <c r="F87" s="25"/>
      <c r="G87" s="25"/>
      <c r="H87" s="25"/>
      <c r="I87" s="25"/>
      <c r="J87" s="25"/>
      <c r="K87" s="25"/>
      <c r="L87" s="25"/>
      <c r="M87" s="25"/>
      <c r="N87" s="25"/>
      <c r="O87" s="25"/>
      <c r="P87" s="25"/>
      <c r="Q87" s="25"/>
      <c r="R87" s="25"/>
      <c r="S87" s="25"/>
      <c r="T87" s="25"/>
      <c r="U87" s="25"/>
      <c r="V87" s="25"/>
      <c r="W87" s="17" t="s">
        <v>537</v>
      </c>
      <c r="X87" s="17"/>
      <c r="Y87" s="25"/>
      <c r="Z87" s="25"/>
      <c r="AA87" s="25"/>
      <c r="AB87" s="25"/>
      <c r="AC87" s="25"/>
    </row>
    <row r="88" spans="1:29" x14ac:dyDescent="0.45">
      <c r="A88" s="25"/>
      <c r="B88" s="25"/>
      <c r="C88" s="25"/>
      <c r="D88" s="25"/>
      <c r="E88" s="25"/>
      <c r="F88" s="25"/>
      <c r="G88" s="25"/>
      <c r="H88" s="25"/>
      <c r="I88" s="25"/>
      <c r="J88" s="25"/>
      <c r="K88" s="25"/>
      <c r="L88" s="25"/>
      <c r="M88" s="25"/>
      <c r="N88" s="25"/>
      <c r="O88" s="25"/>
      <c r="P88" s="25"/>
      <c r="Q88" s="25"/>
      <c r="R88" s="25"/>
      <c r="S88" s="25"/>
      <c r="T88" s="25"/>
      <c r="U88" s="25"/>
      <c r="V88" s="25"/>
      <c r="W88" s="17" t="s">
        <v>538</v>
      </c>
      <c r="X88" s="17"/>
      <c r="Y88" s="25"/>
      <c r="Z88" s="25"/>
      <c r="AA88" s="25"/>
      <c r="AB88" s="25"/>
      <c r="AC88" s="25"/>
    </row>
    <row r="89" spans="1:29" x14ac:dyDescent="0.45">
      <c r="A89" s="25"/>
      <c r="B89" s="25"/>
      <c r="C89" s="25"/>
      <c r="D89" s="25"/>
      <c r="E89" s="25"/>
      <c r="F89" s="25"/>
      <c r="G89" s="25"/>
      <c r="H89" s="25"/>
      <c r="I89" s="25"/>
      <c r="J89" s="25"/>
      <c r="K89" s="25"/>
      <c r="L89" s="25"/>
      <c r="M89" s="25"/>
      <c r="N89" s="25"/>
      <c r="O89" s="25"/>
      <c r="P89" s="25"/>
      <c r="Q89" s="25"/>
      <c r="R89" s="25"/>
      <c r="S89" s="25"/>
      <c r="T89" s="25"/>
      <c r="U89" s="25"/>
      <c r="V89" s="25"/>
      <c r="W89" s="17" t="s">
        <v>539</v>
      </c>
      <c r="X89" s="17"/>
      <c r="Y89" s="25"/>
      <c r="Z89" s="25"/>
      <c r="AA89" s="25"/>
      <c r="AB89" s="25"/>
      <c r="AC89" s="25"/>
    </row>
    <row r="90" spans="1:29" x14ac:dyDescent="0.45">
      <c r="A90" s="25"/>
      <c r="B90" s="25"/>
      <c r="C90" s="25"/>
      <c r="D90" s="25"/>
      <c r="E90" s="25"/>
      <c r="F90" s="25"/>
      <c r="G90" s="25"/>
      <c r="H90" s="25"/>
      <c r="I90" s="25"/>
      <c r="J90" s="25"/>
      <c r="K90" s="25"/>
      <c r="L90" s="25"/>
      <c r="M90" s="25"/>
      <c r="N90" s="25"/>
      <c r="O90" s="25"/>
      <c r="P90" s="25"/>
      <c r="Q90" s="25"/>
      <c r="R90" s="25"/>
      <c r="S90" s="25"/>
      <c r="T90" s="25"/>
      <c r="U90" s="25"/>
      <c r="V90" s="25"/>
      <c r="W90" s="17" t="s">
        <v>540</v>
      </c>
      <c r="X90" s="17"/>
      <c r="Y90" s="25"/>
      <c r="Z90" s="25"/>
      <c r="AA90" s="25"/>
      <c r="AB90" s="25"/>
      <c r="AC90" s="25"/>
    </row>
    <row r="91" spans="1:29" x14ac:dyDescent="0.45">
      <c r="A91" s="25"/>
      <c r="B91" s="25"/>
      <c r="C91" s="25"/>
      <c r="D91" s="25"/>
      <c r="E91" s="25"/>
      <c r="F91" s="25"/>
      <c r="G91" s="25"/>
      <c r="H91" s="25"/>
      <c r="I91" s="25"/>
      <c r="J91" s="25"/>
      <c r="K91" s="25"/>
      <c r="L91" s="25"/>
      <c r="M91" s="25"/>
      <c r="N91" s="25"/>
      <c r="O91" s="25"/>
      <c r="P91" s="25"/>
      <c r="Q91" s="25"/>
      <c r="R91" s="25"/>
      <c r="S91" s="25"/>
      <c r="T91" s="25"/>
      <c r="U91" s="25"/>
      <c r="V91" s="25"/>
      <c r="W91" s="17" t="s">
        <v>541</v>
      </c>
      <c r="X91" s="17"/>
      <c r="Y91" s="25"/>
      <c r="Z91" s="25"/>
      <c r="AA91" s="25"/>
      <c r="AB91" s="25"/>
      <c r="AC91" s="25"/>
    </row>
    <row r="92" spans="1:29" x14ac:dyDescent="0.45">
      <c r="A92" s="25"/>
      <c r="B92" s="25"/>
      <c r="C92" s="25"/>
      <c r="D92" s="25"/>
      <c r="E92" s="25"/>
      <c r="F92" s="25"/>
      <c r="G92" s="25"/>
      <c r="H92" s="25"/>
      <c r="I92" s="25"/>
      <c r="J92" s="25"/>
      <c r="K92" s="25"/>
      <c r="L92" s="25"/>
      <c r="M92" s="25"/>
      <c r="N92" s="25"/>
      <c r="O92" s="25"/>
      <c r="P92" s="25"/>
      <c r="Q92" s="25"/>
      <c r="R92" s="25"/>
      <c r="S92" s="25"/>
      <c r="T92" s="25"/>
      <c r="U92" s="25"/>
      <c r="V92" s="25"/>
      <c r="W92" s="17" t="s">
        <v>542</v>
      </c>
      <c r="X92" s="17"/>
      <c r="Y92" s="25"/>
      <c r="Z92" s="25"/>
      <c r="AA92" s="25"/>
      <c r="AB92" s="25"/>
      <c r="AC92" s="25"/>
    </row>
    <row r="93" spans="1:29" x14ac:dyDescent="0.45">
      <c r="A93" s="25"/>
      <c r="B93" s="25"/>
      <c r="C93" s="25"/>
      <c r="D93" s="25"/>
      <c r="E93" s="25"/>
      <c r="F93" s="25"/>
      <c r="G93" s="25"/>
      <c r="H93" s="25"/>
      <c r="I93" s="25"/>
      <c r="J93" s="25"/>
      <c r="K93" s="25"/>
      <c r="L93" s="25"/>
      <c r="M93" s="25"/>
      <c r="N93" s="25"/>
      <c r="O93" s="25"/>
      <c r="P93" s="25"/>
      <c r="Q93" s="25"/>
      <c r="R93" s="25"/>
      <c r="S93" s="25"/>
      <c r="T93" s="25"/>
      <c r="U93" s="25"/>
      <c r="V93" s="25"/>
      <c r="W93" s="17" t="s">
        <v>543</v>
      </c>
      <c r="X93" s="17"/>
      <c r="Y93" s="25"/>
      <c r="Z93" s="25"/>
      <c r="AA93" s="25"/>
      <c r="AB93" s="25"/>
      <c r="AC93" s="25"/>
    </row>
    <row r="94" spans="1:29" x14ac:dyDescent="0.45">
      <c r="A94" s="25"/>
      <c r="B94" s="25"/>
      <c r="C94" s="25"/>
      <c r="D94" s="25"/>
      <c r="E94" s="25"/>
      <c r="F94" s="25"/>
      <c r="G94" s="25"/>
      <c r="H94" s="25"/>
      <c r="I94" s="25"/>
      <c r="J94" s="25"/>
      <c r="K94" s="25"/>
      <c r="L94" s="25"/>
      <c r="M94" s="25"/>
      <c r="N94" s="25"/>
      <c r="O94" s="25"/>
      <c r="P94" s="25"/>
      <c r="Q94" s="25"/>
      <c r="R94" s="25"/>
      <c r="S94" s="25"/>
      <c r="T94" s="25"/>
      <c r="U94" s="25"/>
      <c r="V94" s="25"/>
      <c r="W94" s="17" t="s">
        <v>544</v>
      </c>
      <c r="X94" s="17"/>
      <c r="Y94" s="25"/>
      <c r="Z94" s="25"/>
      <c r="AA94" s="25"/>
      <c r="AB94" s="25"/>
      <c r="AC94" s="25"/>
    </row>
    <row r="95" spans="1:29" x14ac:dyDescent="0.45">
      <c r="A95" s="25"/>
      <c r="B95" s="25"/>
      <c r="C95" s="25"/>
      <c r="D95" s="25"/>
      <c r="E95" s="25"/>
      <c r="F95" s="25"/>
      <c r="G95" s="25"/>
      <c r="H95" s="25"/>
      <c r="I95" s="25"/>
      <c r="J95" s="25"/>
      <c r="K95" s="25"/>
      <c r="L95" s="25"/>
      <c r="M95" s="25"/>
      <c r="N95" s="25"/>
      <c r="O95" s="25"/>
      <c r="P95" s="25"/>
      <c r="Q95" s="25"/>
      <c r="R95" s="25"/>
      <c r="S95" s="25"/>
      <c r="T95" s="25"/>
      <c r="U95" s="25"/>
      <c r="V95" s="25"/>
      <c r="W95" s="17" t="s">
        <v>545</v>
      </c>
      <c r="X95" s="17"/>
      <c r="Y95" s="25"/>
      <c r="Z95" s="25"/>
      <c r="AA95" s="25"/>
      <c r="AB95" s="25"/>
      <c r="AC95" s="25"/>
    </row>
    <row r="96" spans="1:29" x14ac:dyDescent="0.45">
      <c r="A96" s="25"/>
      <c r="B96" s="25"/>
      <c r="C96" s="25"/>
      <c r="D96" s="25"/>
      <c r="E96" s="25"/>
      <c r="F96" s="25"/>
      <c r="G96" s="25"/>
      <c r="H96" s="25"/>
      <c r="I96" s="25"/>
      <c r="J96" s="25"/>
      <c r="K96" s="25"/>
      <c r="L96" s="25"/>
      <c r="M96" s="25"/>
      <c r="N96" s="25"/>
      <c r="O96" s="25"/>
      <c r="P96" s="25"/>
      <c r="Q96" s="25"/>
      <c r="R96" s="25"/>
      <c r="S96" s="25"/>
      <c r="T96" s="25"/>
      <c r="U96" s="25"/>
      <c r="V96" s="25"/>
      <c r="W96" s="17" t="s">
        <v>546</v>
      </c>
      <c r="X96" s="17"/>
      <c r="Y96" s="25"/>
      <c r="Z96" s="25"/>
      <c r="AA96" s="25"/>
      <c r="AB96" s="25"/>
      <c r="AC96" s="25"/>
    </row>
    <row r="97" spans="1:29" x14ac:dyDescent="0.45">
      <c r="A97" s="25"/>
      <c r="B97" s="25"/>
      <c r="C97" s="25"/>
      <c r="D97" s="25"/>
      <c r="E97" s="25"/>
      <c r="F97" s="25"/>
      <c r="G97" s="25"/>
      <c r="H97" s="25"/>
      <c r="I97" s="25"/>
      <c r="J97" s="25"/>
      <c r="K97" s="25"/>
      <c r="L97" s="25"/>
      <c r="M97" s="25"/>
      <c r="N97" s="25"/>
      <c r="O97" s="25"/>
      <c r="P97" s="25"/>
      <c r="Q97" s="25"/>
      <c r="R97" s="25"/>
      <c r="S97" s="25"/>
      <c r="T97" s="25"/>
      <c r="U97" s="25"/>
      <c r="V97" s="25"/>
      <c r="W97" s="17" t="s">
        <v>547</v>
      </c>
      <c r="X97" s="17"/>
      <c r="Y97" s="25"/>
      <c r="Z97" s="25"/>
      <c r="AA97" s="25"/>
      <c r="AB97" s="25"/>
      <c r="AC97" s="25"/>
    </row>
    <row r="98" spans="1:29" x14ac:dyDescent="0.45">
      <c r="A98" s="25"/>
      <c r="B98" s="25"/>
      <c r="C98" s="25"/>
      <c r="D98" s="25"/>
      <c r="E98" s="25"/>
      <c r="F98" s="25"/>
      <c r="G98" s="25"/>
      <c r="H98" s="25"/>
      <c r="I98" s="25"/>
      <c r="J98" s="25"/>
      <c r="K98" s="25"/>
      <c r="L98" s="25"/>
      <c r="M98" s="25"/>
      <c r="N98" s="25"/>
      <c r="O98" s="25"/>
      <c r="P98" s="25"/>
      <c r="Q98" s="25"/>
      <c r="R98" s="25"/>
      <c r="S98" s="25"/>
      <c r="T98" s="25"/>
      <c r="U98" s="25"/>
      <c r="V98" s="25"/>
      <c r="W98" s="17" t="s">
        <v>548</v>
      </c>
      <c r="X98" s="17"/>
      <c r="Y98" s="25"/>
      <c r="Z98" s="25"/>
      <c r="AA98" s="25"/>
      <c r="AB98" s="25"/>
      <c r="AC98" s="25"/>
    </row>
    <row r="99" spans="1:29" x14ac:dyDescent="0.45">
      <c r="A99" s="25"/>
      <c r="B99" s="25"/>
      <c r="C99" s="25"/>
      <c r="D99" s="25"/>
      <c r="E99" s="25"/>
      <c r="F99" s="25"/>
      <c r="G99" s="25"/>
      <c r="H99" s="25"/>
      <c r="I99" s="25"/>
      <c r="J99" s="25"/>
      <c r="K99" s="25"/>
      <c r="L99" s="25"/>
      <c r="M99" s="25"/>
      <c r="N99" s="25"/>
      <c r="O99" s="25"/>
      <c r="P99" s="25"/>
      <c r="Q99" s="25"/>
      <c r="R99" s="25"/>
      <c r="S99" s="25"/>
      <c r="T99" s="25"/>
      <c r="U99" s="25"/>
      <c r="V99" s="25"/>
      <c r="W99" s="17" t="s">
        <v>549</v>
      </c>
      <c r="X99" s="17"/>
      <c r="Y99" s="25"/>
      <c r="Z99" s="25"/>
      <c r="AA99" s="25"/>
      <c r="AB99" s="25"/>
      <c r="AC99" s="25"/>
    </row>
    <row r="100" spans="1:29" x14ac:dyDescent="0.45">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550</v>
      </c>
      <c r="X100" s="17"/>
      <c r="Y100" s="25"/>
      <c r="Z100" s="25"/>
      <c r="AA100" s="25"/>
      <c r="AB100" s="25"/>
      <c r="AC100" s="25"/>
    </row>
    <row r="101" spans="1:29" x14ac:dyDescent="0.45">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551</v>
      </c>
      <c r="X101" s="17"/>
      <c r="Y101" s="25"/>
      <c r="Z101" s="25"/>
      <c r="AA101" s="25"/>
      <c r="AB101" s="25"/>
      <c r="AC101" s="25"/>
    </row>
    <row r="102" spans="1:29" x14ac:dyDescent="0.45">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552</v>
      </c>
      <c r="X102" s="17"/>
      <c r="Y102" s="25"/>
      <c r="Z102" s="25"/>
      <c r="AA102" s="25"/>
      <c r="AB102" s="25"/>
      <c r="AC102" s="25"/>
    </row>
    <row r="103" spans="1:29" x14ac:dyDescent="0.45">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553</v>
      </c>
      <c r="X103" s="17"/>
      <c r="Y103" s="25"/>
      <c r="Z103" s="25"/>
      <c r="AA103" s="25"/>
      <c r="AB103" s="25"/>
      <c r="AC103" s="25"/>
    </row>
    <row r="104" spans="1:29" x14ac:dyDescent="0.45">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554</v>
      </c>
      <c r="X104" s="17"/>
      <c r="Y104" s="25"/>
      <c r="Z104" s="25"/>
      <c r="AA104" s="25"/>
      <c r="AB104" s="25"/>
      <c r="AC104" s="25"/>
    </row>
    <row r="105" spans="1:29" x14ac:dyDescent="0.45">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555</v>
      </c>
      <c r="X105" s="17"/>
      <c r="Y105" s="25"/>
      <c r="Z105" s="25"/>
      <c r="AA105" s="25"/>
      <c r="AB105" s="25"/>
      <c r="AC105" s="25"/>
    </row>
    <row r="106" spans="1:29" x14ac:dyDescent="0.45">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556</v>
      </c>
      <c r="X106" s="17"/>
      <c r="Y106" s="25"/>
      <c r="Z106" s="25"/>
      <c r="AA106" s="25"/>
      <c r="AB106" s="25"/>
      <c r="AC106" s="25"/>
    </row>
    <row r="107" spans="1:29" x14ac:dyDescent="0.45">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557</v>
      </c>
      <c r="X107" s="17"/>
      <c r="Y107" s="25"/>
      <c r="Z107" s="25"/>
      <c r="AA107" s="25"/>
      <c r="AB107" s="25"/>
      <c r="AC107" s="25"/>
    </row>
    <row r="108" spans="1:29" x14ac:dyDescent="0.45">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558</v>
      </c>
      <c r="X108" s="17"/>
      <c r="Y108" s="25"/>
      <c r="Z108" s="25"/>
      <c r="AA108" s="25"/>
      <c r="AB108" s="25"/>
      <c r="AC108" s="25"/>
    </row>
    <row r="109" spans="1:29" x14ac:dyDescent="0.45">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559</v>
      </c>
      <c r="X109" s="17"/>
      <c r="Y109" s="25"/>
      <c r="Z109" s="25"/>
      <c r="AA109" s="25"/>
      <c r="AB109" s="25"/>
      <c r="AC109" s="25"/>
    </row>
    <row r="110" spans="1:29" x14ac:dyDescent="0.45">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560</v>
      </c>
      <c r="X110" s="17"/>
      <c r="Y110" s="25"/>
      <c r="Z110" s="25"/>
      <c r="AA110" s="25"/>
      <c r="AB110" s="25"/>
      <c r="AC110" s="25"/>
    </row>
    <row r="111" spans="1:29" x14ac:dyDescent="0.45">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561</v>
      </c>
      <c r="X111" s="17"/>
      <c r="Y111" s="25"/>
      <c r="Z111" s="25"/>
      <c r="AA111" s="25"/>
      <c r="AB111" s="25"/>
      <c r="AC111" s="25"/>
    </row>
    <row r="112" spans="1:29" x14ac:dyDescent="0.45">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562</v>
      </c>
      <c r="X112" s="17"/>
      <c r="Y112" s="25"/>
      <c r="Z112" s="25"/>
      <c r="AA112" s="25"/>
      <c r="AB112" s="25"/>
      <c r="AC112" s="25"/>
    </row>
    <row r="113" spans="1:29" x14ac:dyDescent="0.45">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563</v>
      </c>
      <c r="X113" s="17"/>
      <c r="Y113" s="25"/>
      <c r="Z113" s="25"/>
      <c r="AA113" s="25"/>
      <c r="AB113" s="25"/>
      <c r="AC113" s="25"/>
    </row>
    <row r="114" spans="1:29" x14ac:dyDescent="0.45">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564</v>
      </c>
      <c r="X114" s="17"/>
      <c r="Y114" s="25"/>
      <c r="Z114" s="25"/>
      <c r="AA114" s="25"/>
      <c r="AB114" s="25"/>
      <c r="AC114" s="25"/>
    </row>
    <row r="115" spans="1:29" x14ac:dyDescent="0.45">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565</v>
      </c>
      <c r="X115" s="17"/>
      <c r="Y115" s="25"/>
      <c r="Z115" s="25"/>
      <c r="AA115" s="25"/>
      <c r="AB115" s="25"/>
      <c r="AC115" s="25"/>
    </row>
    <row r="116" spans="1:29" x14ac:dyDescent="0.45">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566</v>
      </c>
      <c r="X116" s="17"/>
      <c r="Y116" s="25"/>
      <c r="Z116" s="25"/>
      <c r="AA116" s="25"/>
      <c r="AB116" s="25"/>
      <c r="AC116" s="25"/>
    </row>
    <row r="117" spans="1:29" x14ac:dyDescent="0.45">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567</v>
      </c>
      <c r="X117" s="17"/>
      <c r="Y117" s="25"/>
      <c r="Z117" s="25"/>
      <c r="AA117" s="25"/>
      <c r="AB117" s="25"/>
      <c r="AC117" s="25"/>
    </row>
    <row r="118" spans="1:29" x14ac:dyDescent="0.45">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568</v>
      </c>
      <c r="X118" s="17"/>
      <c r="Y118" s="25"/>
      <c r="Z118" s="25"/>
      <c r="AA118" s="25"/>
      <c r="AB118" s="25"/>
      <c r="AC118" s="25"/>
    </row>
    <row r="119" spans="1:29" x14ac:dyDescent="0.45">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569</v>
      </c>
      <c r="X119" s="17"/>
      <c r="Y119" s="25"/>
      <c r="Z119" s="25"/>
      <c r="AA119" s="25"/>
      <c r="AB119" s="25"/>
      <c r="AC119" s="25"/>
    </row>
    <row r="120" spans="1:29" x14ac:dyDescent="0.45">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570</v>
      </c>
      <c r="X120" s="17"/>
      <c r="Y120" s="25"/>
      <c r="Z120" s="25"/>
      <c r="AA120" s="25"/>
      <c r="AB120" s="25"/>
      <c r="AC120" s="25"/>
    </row>
    <row r="121" spans="1:29" x14ac:dyDescent="0.45">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571</v>
      </c>
      <c r="X121" s="17"/>
      <c r="Y121" s="25"/>
      <c r="Z121" s="25"/>
      <c r="AA121" s="25"/>
      <c r="AB121" s="25"/>
      <c r="AC121" s="25"/>
    </row>
    <row r="122" spans="1:29" x14ac:dyDescent="0.45">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572</v>
      </c>
      <c r="X122" s="17"/>
      <c r="Y122" s="25"/>
      <c r="Z122" s="25"/>
      <c r="AA122" s="25"/>
      <c r="AB122" s="25"/>
      <c r="AC122" s="25"/>
    </row>
    <row r="123" spans="1:29" x14ac:dyDescent="0.45">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573</v>
      </c>
      <c r="X123" s="17"/>
      <c r="Y123" s="25"/>
      <c r="Z123" s="25"/>
      <c r="AA123" s="25"/>
      <c r="AB123" s="25"/>
      <c r="AC123" s="25"/>
    </row>
    <row r="124" spans="1:29" x14ac:dyDescent="0.45">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574</v>
      </c>
      <c r="X124" s="17"/>
      <c r="Y124" s="25"/>
      <c r="Z124" s="25"/>
      <c r="AA124" s="25"/>
      <c r="AB124" s="25"/>
      <c r="AC124" s="25"/>
    </row>
    <row r="125" spans="1:29" x14ac:dyDescent="0.45">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575</v>
      </c>
      <c r="X125" s="17"/>
      <c r="Y125" s="25"/>
      <c r="Z125" s="25"/>
      <c r="AA125" s="25"/>
      <c r="AB125" s="25"/>
      <c r="AC125" s="25"/>
    </row>
    <row r="126" spans="1:29" x14ac:dyDescent="0.45">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576</v>
      </c>
      <c r="X126" s="17"/>
      <c r="Y126" s="25"/>
      <c r="Z126" s="25"/>
      <c r="AA126" s="25"/>
      <c r="AB126" s="25"/>
      <c r="AC126" s="25"/>
    </row>
    <row r="127" spans="1:29" x14ac:dyDescent="0.45">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577</v>
      </c>
      <c r="X127" s="17"/>
      <c r="Y127" s="25"/>
      <c r="Z127" s="25"/>
      <c r="AA127" s="25"/>
      <c r="AB127" s="25"/>
      <c r="AC127" s="25"/>
    </row>
    <row r="128" spans="1:29" x14ac:dyDescent="0.45">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578</v>
      </c>
      <c r="X128" s="17"/>
      <c r="Y128" s="25"/>
      <c r="Z128" s="25"/>
      <c r="AA128" s="25"/>
      <c r="AB128" s="25"/>
      <c r="AC128" s="25"/>
    </row>
    <row r="129" spans="1:29" x14ac:dyDescent="0.45">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579</v>
      </c>
      <c r="X129" s="17"/>
      <c r="Y129" s="25"/>
      <c r="Z129" s="25"/>
      <c r="AA129" s="25"/>
      <c r="AB129" s="25"/>
      <c r="AC129" s="25"/>
    </row>
    <row r="130" spans="1:29" x14ac:dyDescent="0.45">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580</v>
      </c>
      <c r="X130" s="17"/>
      <c r="Y130" s="25"/>
      <c r="Z130" s="25"/>
      <c r="AA130" s="25"/>
      <c r="AB130" s="25"/>
      <c r="AC130" s="25"/>
    </row>
    <row r="131" spans="1:29" x14ac:dyDescent="0.45">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581</v>
      </c>
      <c r="X131" s="17"/>
      <c r="Y131" s="25"/>
      <c r="Z131" s="25"/>
      <c r="AA131" s="25"/>
      <c r="AB131" s="25"/>
      <c r="AC131" s="25"/>
    </row>
    <row r="132" spans="1:29" x14ac:dyDescent="0.45">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582</v>
      </c>
      <c r="X132" s="17"/>
      <c r="Y132" s="25"/>
      <c r="Z132" s="25"/>
      <c r="AA132" s="25"/>
      <c r="AB132" s="25"/>
      <c r="AC132" s="25"/>
    </row>
    <row r="133" spans="1:29" x14ac:dyDescent="0.45">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583</v>
      </c>
      <c r="X133" s="17"/>
      <c r="Y133" s="25"/>
      <c r="Z133" s="25"/>
      <c r="AA133" s="25"/>
      <c r="AB133" s="25"/>
      <c r="AC133" s="25"/>
    </row>
    <row r="134" spans="1:29" x14ac:dyDescent="0.45">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584</v>
      </c>
      <c r="X134" s="17"/>
      <c r="Y134" s="25"/>
      <c r="Z134" s="25"/>
      <c r="AA134" s="25"/>
      <c r="AB134" s="25"/>
      <c r="AC134" s="25"/>
    </row>
    <row r="135" spans="1:29" x14ac:dyDescent="0.45">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585</v>
      </c>
      <c r="X135" s="17"/>
      <c r="Y135" s="25"/>
      <c r="Z135" s="25"/>
      <c r="AA135" s="25"/>
      <c r="AB135" s="25"/>
      <c r="AC135" s="25"/>
    </row>
    <row r="136" spans="1:29" x14ac:dyDescent="0.45">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586</v>
      </c>
      <c r="X136" s="17"/>
      <c r="Y136" s="25"/>
      <c r="Z136" s="25"/>
      <c r="AA136" s="25"/>
      <c r="AB136" s="25"/>
      <c r="AC136" s="25"/>
    </row>
    <row r="137" spans="1:29" x14ac:dyDescent="0.45">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587</v>
      </c>
      <c r="X137" s="17"/>
      <c r="Y137" s="25"/>
      <c r="Z137" s="25"/>
      <c r="AA137" s="25"/>
      <c r="AB137" s="25"/>
      <c r="AC137" s="25"/>
    </row>
    <row r="138" spans="1:29" x14ac:dyDescent="0.45">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588</v>
      </c>
      <c r="X138" s="17"/>
      <c r="Y138" s="25"/>
      <c r="Z138" s="25"/>
      <c r="AA138" s="25"/>
      <c r="AB138" s="25"/>
      <c r="AC138" s="25"/>
    </row>
    <row r="139" spans="1:29" x14ac:dyDescent="0.45">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589</v>
      </c>
      <c r="X139" s="17"/>
      <c r="Y139" s="25"/>
      <c r="Z139" s="25"/>
      <c r="AA139" s="25"/>
      <c r="AB139" s="25"/>
      <c r="AC139" s="25"/>
    </row>
    <row r="140" spans="1:29" x14ac:dyDescent="0.45">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590</v>
      </c>
      <c r="X140" s="17"/>
      <c r="Y140" s="25"/>
      <c r="Z140" s="25"/>
      <c r="AA140" s="25"/>
      <c r="AB140" s="25"/>
      <c r="AC140" s="25"/>
    </row>
    <row r="141" spans="1:29" x14ac:dyDescent="0.45">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591</v>
      </c>
      <c r="X141" s="17"/>
      <c r="Y141" s="25"/>
      <c r="Z141" s="25"/>
      <c r="AA141" s="25"/>
      <c r="AB141" s="25"/>
      <c r="AC141" s="25"/>
    </row>
    <row r="142" spans="1:29" x14ac:dyDescent="0.45">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592</v>
      </c>
      <c r="X142" s="17"/>
      <c r="Y142" s="25"/>
      <c r="Z142" s="25"/>
      <c r="AA142" s="25"/>
      <c r="AB142" s="25"/>
      <c r="AC142" s="25"/>
    </row>
    <row r="143" spans="1:29" x14ac:dyDescent="0.45">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593</v>
      </c>
      <c r="X143" s="17"/>
      <c r="Y143" s="25"/>
      <c r="Z143" s="25"/>
      <c r="AA143" s="25"/>
      <c r="AB143" s="25"/>
      <c r="AC143" s="25"/>
    </row>
    <row r="144" spans="1:29" x14ac:dyDescent="0.45">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594</v>
      </c>
      <c r="X144" s="17"/>
      <c r="Y144" s="25"/>
      <c r="Z144" s="25"/>
      <c r="AA144" s="25"/>
      <c r="AB144" s="25"/>
      <c r="AC144" s="25"/>
    </row>
    <row r="145" spans="1:29" x14ac:dyDescent="0.45">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595</v>
      </c>
      <c r="X145" s="17"/>
      <c r="Y145" s="25"/>
      <c r="Z145" s="25"/>
      <c r="AA145" s="25"/>
      <c r="AB145" s="25"/>
      <c r="AC145" s="25"/>
    </row>
    <row r="146" spans="1:29" x14ac:dyDescent="0.45">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596</v>
      </c>
      <c r="X146" s="17"/>
      <c r="Y146" s="25"/>
      <c r="Z146" s="25"/>
      <c r="AA146" s="25"/>
      <c r="AB146" s="25"/>
      <c r="AC146" s="25"/>
    </row>
    <row r="147" spans="1:29" x14ac:dyDescent="0.45">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597</v>
      </c>
      <c r="X147" s="17"/>
      <c r="Y147" s="25"/>
      <c r="Z147" s="25"/>
      <c r="AA147" s="25"/>
      <c r="AB147" s="25"/>
      <c r="AC147" s="25"/>
    </row>
    <row r="148" spans="1:29" x14ac:dyDescent="0.45">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598</v>
      </c>
      <c r="X148" s="17"/>
      <c r="Y148" s="25"/>
      <c r="Z148" s="25"/>
      <c r="AA148" s="25"/>
      <c r="AB148" s="25"/>
      <c r="AC148" s="25"/>
    </row>
    <row r="149" spans="1:29" x14ac:dyDescent="0.45">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599</v>
      </c>
      <c r="X149" s="17"/>
      <c r="Y149" s="25"/>
      <c r="Z149" s="25"/>
      <c r="AA149" s="25"/>
      <c r="AB149" s="25"/>
      <c r="AC149" s="25"/>
    </row>
    <row r="150" spans="1:29" x14ac:dyDescent="0.45">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600</v>
      </c>
      <c r="X150" s="17"/>
      <c r="Y150" s="25"/>
      <c r="Z150" s="25"/>
      <c r="AA150" s="25"/>
      <c r="AB150" s="25"/>
      <c r="AC150" s="25"/>
    </row>
    <row r="151" spans="1:29" x14ac:dyDescent="0.45">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601</v>
      </c>
      <c r="X151" s="17"/>
      <c r="Y151" s="25"/>
      <c r="Z151" s="25"/>
      <c r="AA151" s="25"/>
      <c r="AB151" s="25"/>
      <c r="AC151" s="25"/>
    </row>
    <row r="152" spans="1:29" x14ac:dyDescent="0.45">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602</v>
      </c>
      <c r="X152" s="17"/>
      <c r="Y152" s="25"/>
      <c r="Z152" s="25"/>
      <c r="AA152" s="25"/>
      <c r="AB152" s="25"/>
      <c r="AC152" s="25"/>
    </row>
    <row r="153" spans="1:29" x14ac:dyDescent="0.45">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603</v>
      </c>
      <c r="X153" s="17"/>
      <c r="Y153" s="25"/>
      <c r="Z153" s="25"/>
      <c r="AA153" s="25"/>
      <c r="AB153" s="25"/>
      <c r="AC153" s="25"/>
    </row>
    <row r="154" spans="1:29" x14ac:dyDescent="0.45">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604</v>
      </c>
      <c r="X154" s="17"/>
      <c r="Y154" s="25"/>
      <c r="Z154" s="25"/>
      <c r="AA154" s="25"/>
      <c r="AB154" s="25"/>
      <c r="AC154" s="25"/>
    </row>
    <row r="155" spans="1:29" x14ac:dyDescent="0.45">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605</v>
      </c>
      <c r="X155" s="17"/>
      <c r="Y155" s="25"/>
      <c r="Z155" s="25"/>
      <c r="AA155" s="25"/>
      <c r="AB155" s="25"/>
      <c r="AC155" s="25"/>
    </row>
    <row r="156" spans="1:29" x14ac:dyDescent="0.45">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606</v>
      </c>
      <c r="X156" s="17"/>
      <c r="Y156" s="25"/>
      <c r="Z156" s="25"/>
      <c r="AA156" s="25"/>
      <c r="AB156" s="25"/>
      <c r="AC156" s="25"/>
    </row>
    <row r="157" spans="1:29" x14ac:dyDescent="0.45">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607</v>
      </c>
      <c r="X157" s="17"/>
      <c r="Y157" s="25"/>
      <c r="Z157" s="25"/>
      <c r="AA157" s="25"/>
      <c r="AB157" s="25"/>
      <c r="AC157" s="25"/>
    </row>
    <row r="158" spans="1:29" x14ac:dyDescent="0.45">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608</v>
      </c>
      <c r="X158" s="17"/>
      <c r="Y158" s="25"/>
      <c r="Z158" s="25"/>
      <c r="AA158" s="25"/>
      <c r="AB158" s="25"/>
      <c r="AC158" s="25"/>
    </row>
    <row r="159" spans="1:29" x14ac:dyDescent="0.45">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609</v>
      </c>
      <c r="X159" s="17"/>
      <c r="Y159" s="25"/>
      <c r="Z159" s="25"/>
      <c r="AA159" s="25"/>
      <c r="AB159" s="25"/>
      <c r="AC159" s="25"/>
    </row>
    <row r="160" spans="1:29" x14ac:dyDescent="0.45">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610</v>
      </c>
      <c r="X160" s="17"/>
      <c r="Y160" s="25"/>
      <c r="Z160" s="25"/>
      <c r="AA160" s="25"/>
      <c r="AB160" s="25"/>
      <c r="AC160" s="25"/>
    </row>
    <row r="161" spans="1:29" x14ac:dyDescent="0.45">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611</v>
      </c>
      <c r="X161" s="17"/>
      <c r="Y161" s="25"/>
      <c r="Z161" s="25"/>
      <c r="AA161" s="25"/>
      <c r="AB161" s="25"/>
      <c r="AC161" s="25"/>
    </row>
    <row r="162" spans="1:29" x14ac:dyDescent="0.45">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612</v>
      </c>
      <c r="X162" s="17"/>
      <c r="Y162" s="25"/>
      <c r="Z162" s="25"/>
      <c r="AA162" s="25"/>
      <c r="AB162" s="25"/>
      <c r="AC162" s="25"/>
    </row>
    <row r="163" spans="1:29" x14ac:dyDescent="0.45">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613</v>
      </c>
      <c r="X163" s="17"/>
      <c r="Y163" s="25"/>
      <c r="Z163" s="25"/>
      <c r="AA163" s="25"/>
      <c r="AB163" s="25"/>
      <c r="AC163" s="25"/>
    </row>
    <row r="164" spans="1:29" x14ac:dyDescent="0.45">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614</v>
      </c>
      <c r="X164" s="17"/>
      <c r="Y164" s="25"/>
      <c r="Z164" s="25"/>
      <c r="AA164" s="25"/>
      <c r="AB164" s="25"/>
      <c r="AC164" s="25"/>
    </row>
    <row r="165" spans="1:29" x14ac:dyDescent="0.45">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615</v>
      </c>
      <c r="X165" s="17"/>
      <c r="Y165" s="25"/>
      <c r="Z165" s="25"/>
      <c r="AA165" s="25"/>
      <c r="AB165" s="25"/>
      <c r="AC165" s="25"/>
    </row>
    <row r="166" spans="1:29" x14ac:dyDescent="0.45">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616</v>
      </c>
      <c r="X166" s="17"/>
      <c r="Y166" s="25"/>
      <c r="Z166" s="25"/>
      <c r="AA166" s="25"/>
      <c r="AB166" s="25"/>
      <c r="AC166" s="25"/>
    </row>
    <row r="167" spans="1:29" x14ac:dyDescent="0.45">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617</v>
      </c>
      <c r="X167" s="17"/>
      <c r="Y167" s="25"/>
      <c r="Z167" s="25"/>
      <c r="AA167" s="25"/>
      <c r="AB167" s="25"/>
      <c r="AC167" s="25"/>
    </row>
    <row r="168" spans="1:29" x14ac:dyDescent="0.45">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618</v>
      </c>
      <c r="X168" s="17"/>
      <c r="Y168" s="25"/>
      <c r="Z168" s="25"/>
      <c r="AA168" s="25"/>
      <c r="AB168" s="25"/>
      <c r="AC168" s="25"/>
    </row>
    <row r="169" spans="1:29" x14ac:dyDescent="0.45">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619</v>
      </c>
      <c r="X169" s="17"/>
      <c r="Y169" s="25"/>
      <c r="Z169" s="25"/>
      <c r="AA169" s="25"/>
      <c r="AB169" s="25"/>
      <c r="AC169" s="25"/>
    </row>
    <row r="170" spans="1:29" x14ac:dyDescent="0.45">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620</v>
      </c>
      <c r="X170" s="17"/>
      <c r="Y170" s="25"/>
      <c r="Z170" s="25"/>
      <c r="AA170" s="25"/>
      <c r="AB170" s="25"/>
      <c r="AC170" s="25"/>
    </row>
    <row r="171" spans="1:29" x14ac:dyDescent="0.45">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621</v>
      </c>
      <c r="X171" s="17"/>
      <c r="Y171" s="25"/>
      <c r="Z171" s="25"/>
      <c r="AA171" s="25"/>
      <c r="AB171" s="25"/>
      <c r="AC171" s="25"/>
    </row>
    <row r="172" spans="1:29" x14ac:dyDescent="0.45">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622</v>
      </c>
      <c r="X172" s="17"/>
      <c r="Y172" s="25"/>
      <c r="Z172" s="25"/>
      <c r="AA172" s="25"/>
      <c r="AB172" s="25"/>
      <c r="AC172" s="25"/>
    </row>
    <row r="173" spans="1:29" x14ac:dyDescent="0.45">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623</v>
      </c>
      <c r="X173" s="17"/>
      <c r="Y173" s="25"/>
      <c r="Z173" s="25"/>
      <c r="AA173" s="25"/>
      <c r="AB173" s="25"/>
      <c r="AC173" s="25"/>
    </row>
    <row r="174" spans="1:29" x14ac:dyDescent="0.45">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624</v>
      </c>
      <c r="X174" s="17"/>
      <c r="Y174" s="25"/>
      <c r="Z174" s="25"/>
      <c r="AA174" s="25"/>
      <c r="AB174" s="25"/>
      <c r="AC174" s="25"/>
    </row>
    <row r="175" spans="1:29" x14ac:dyDescent="0.45">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625</v>
      </c>
      <c r="X175" s="17"/>
      <c r="Y175" s="25"/>
      <c r="Z175" s="25"/>
      <c r="AA175" s="25"/>
      <c r="AB175" s="25"/>
      <c r="AC175" s="25"/>
    </row>
    <row r="176" spans="1:29" x14ac:dyDescent="0.45">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626</v>
      </c>
      <c r="X176" s="17"/>
      <c r="Y176" s="25"/>
      <c r="Z176" s="25"/>
      <c r="AA176" s="25"/>
      <c r="AB176" s="25"/>
      <c r="AC176" s="25"/>
    </row>
    <row r="177" spans="1:29" x14ac:dyDescent="0.45">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627</v>
      </c>
      <c r="X177" s="17"/>
      <c r="Y177" s="25"/>
      <c r="Z177" s="25"/>
      <c r="AA177" s="25"/>
      <c r="AB177" s="25"/>
      <c r="AC177" s="25"/>
    </row>
    <row r="178" spans="1:29" x14ac:dyDescent="0.45">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628</v>
      </c>
      <c r="X178" s="17"/>
      <c r="Y178" s="25"/>
      <c r="Z178" s="25"/>
      <c r="AA178" s="25"/>
      <c r="AB178" s="25"/>
      <c r="AC178" s="25"/>
    </row>
    <row r="179" spans="1:29" x14ac:dyDescent="0.45">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629</v>
      </c>
      <c r="X179" s="17"/>
      <c r="Y179" s="25"/>
      <c r="Z179" s="25"/>
      <c r="AA179" s="25"/>
      <c r="AB179" s="25"/>
      <c r="AC179" s="25"/>
    </row>
    <row r="180" spans="1:29" x14ac:dyDescent="0.45">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630</v>
      </c>
      <c r="X180" s="17"/>
      <c r="Y180" s="25"/>
      <c r="Z180" s="25"/>
      <c r="AA180" s="25"/>
      <c r="AB180" s="25"/>
      <c r="AC180" s="25"/>
    </row>
    <row r="181" spans="1:29" x14ac:dyDescent="0.45">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631</v>
      </c>
      <c r="X181" s="17"/>
      <c r="Y181" s="25"/>
      <c r="Z181" s="25"/>
      <c r="AA181" s="25"/>
      <c r="AB181" s="25"/>
      <c r="AC181" s="25"/>
    </row>
    <row r="182" spans="1:29" x14ac:dyDescent="0.45">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632</v>
      </c>
      <c r="X182" s="17"/>
      <c r="Y182" s="25"/>
      <c r="Z182" s="25"/>
      <c r="AA182" s="25"/>
      <c r="AB182" s="25"/>
      <c r="AC182" s="25"/>
    </row>
    <row r="183" spans="1:29" x14ac:dyDescent="0.45">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633</v>
      </c>
      <c r="X183" s="17"/>
      <c r="Y183" s="25"/>
      <c r="Z183" s="25"/>
      <c r="AA183" s="25"/>
      <c r="AB183" s="25"/>
      <c r="AC183" s="25"/>
    </row>
    <row r="184" spans="1:29" x14ac:dyDescent="0.45">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634</v>
      </c>
      <c r="X184" s="17"/>
      <c r="Y184" s="25"/>
      <c r="Z184" s="25"/>
      <c r="AA184" s="25"/>
      <c r="AB184" s="25"/>
      <c r="AC184" s="25"/>
    </row>
    <row r="185" spans="1:29" x14ac:dyDescent="0.45">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635</v>
      </c>
      <c r="X185" s="17"/>
      <c r="Y185" s="25"/>
      <c r="Z185" s="25"/>
      <c r="AA185" s="25"/>
      <c r="AB185" s="25"/>
      <c r="AC185" s="25"/>
    </row>
    <row r="186" spans="1:29" x14ac:dyDescent="0.45">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636</v>
      </c>
      <c r="X186" s="17"/>
      <c r="Y186" s="25"/>
      <c r="Z186" s="25"/>
      <c r="AA186" s="25"/>
      <c r="AB186" s="25"/>
      <c r="AC186" s="25"/>
    </row>
    <row r="187" spans="1:29" x14ac:dyDescent="0.45">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637</v>
      </c>
      <c r="X187" s="17"/>
      <c r="Y187" s="25"/>
      <c r="Z187" s="25"/>
      <c r="AA187" s="25"/>
      <c r="AB187" s="25"/>
      <c r="AC187" s="25"/>
    </row>
    <row r="188" spans="1:29" x14ac:dyDescent="0.45">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638</v>
      </c>
      <c r="X188" s="17"/>
      <c r="Y188" s="25"/>
      <c r="Z188" s="25"/>
      <c r="AA188" s="25"/>
      <c r="AB188" s="25"/>
      <c r="AC188" s="25"/>
    </row>
    <row r="189" spans="1:29" x14ac:dyDescent="0.45">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639</v>
      </c>
      <c r="X189" s="17"/>
      <c r="Y189" s="25"/>
      <c r="Z189" s="25"/>
      <c r="AA189" s="25"/>
      <c r="AB189" s="25"/>
      <c r="AC189" s="25"/>
    </row>
    <row r="190" spans="1:29" x14ac:dyDescent="0.45">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640</v>
      </c>
      <c r="X190" s="17"/>
      <c r="Y190" s="25"/>
      <c r="Z190" s="25"/>
      <c r="AA190" s="25"/>
      <c r="AB190" s="25"/>
      <c r="AC190" s="25"/>
    </row>
    <row r="191" spans="1:29" x14ac:dyDescent="0.45">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641</v>
      </c>
      <c r="X191" s="17"/>
      <c r="Y191" s="25"/>
      <c r="Z191" s="25"/>
      <c r="AA191" s="25"/>
      <c r="AB191" s="25"/>
      <c r="AC191" s="25"/>
    </row>
    <row r="192" spans="1:29" x14ac:dyDescent="0.45">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642</v>
      </c>
      <c r="X192" s="17"/>
      <c r="Y192" s="25"/>
      <c r="Z192" s="25"/>
      <c r="AA192" s="25"/>
      <c r="AB192" s="25"/>
      <c r="AC192" s="25"/>
    </row>
    <row r="193" spans="1:29" x14ac:dyDescent="0.45">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643</v>
      </c>
      <c r="X193" s="17"/>
      <c r="Y193" s="25"/>
      <c r="Z193" s="25"/>
      <c r="AA193" s="25"/>
      <c r="AB193" s="25"/>
      <c r="AC193" s="25"/>
    </row>
    <row r="194" spans="1:29" x14ac:dyDescent="0.45">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644</v>
      </c>
      <c r="X194" s="17"/>
      <c r="Y194" s="25"/>
      <c r="Z194" s="25"/>
      <c r="AA194" s="25"/>
      <c r="AB194" s="25"/>
      <c r="AC194" s="25"/>
    </row>
    <row r="195" spans="1:29" x14ac:dyDescent="0.45">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645</v>
      </c>
      <c r="X195" s="17"/>
      <c r="Y195" s="25"/>
      <c r="Z195" s="25"/>
      <c r="AA195" s="25"/>
      <c r="AB195" s="25"/>
      <c r="AC195" s="25"/>
    </row>
    <row r="196" spans="1:29" x14ac:dyDescent="0.45">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646</v>
      </c>
      <c r="X196" s="17"/>
      <c r="Y196" s="25"/>
      <c r="Z196" s="25"/>
      <c r="AA196" s="25"/>
      <c r="AB196" s="25"/>
      <c r="AC196" s="25"/>
    </row>
    <row r="197" spans="1:29" x14ac:dyDescent="0.45">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647</v>
      </c>
      <c r="X197" s="17"/>
      <c r="Y197" s="25"/>
      <c r="Z197" s="25"/>
      <c r="AA197" s="25"/>
      <c r="AB197" s="25"/>
      <c r="AC197" s="25"/>
    </row>
    <row r="198" spans="1:29" x14ac:dyDescent="0.45">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648</v>
      </c>
      <c r="X198" s="17"/>
      <c r="Y198" s="25"/>
      <c r="Z198" s="25"/>
      <c r="AA198" s="25"/>
      <c r="AB198" s="25"/>
      <c r="AC198" s="25"/>
    </row>
    <row r="199" spans="1:29" x14ac:dyDescent="0.45">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649</v>
      </c>
      <c r="X199" s="17"/>
      <c r="Y199" s="25"/>
      <c r="Z199" s="25"/>
      <c r="AA199" s="25"/>
      <c r="AB199" s="25"/>
      <c r="AC199" s="25"/>
    </row>
    <row r="200" spans="1:29" x14ac:dyDescent="0.45">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650</v>
      </c>
      <c r="X200" s="17"/>
      <c r="Y200" s="25"/>
      <c r="Z200" s="25"/>
      <c r="AA200" s="25"/>
      <c r="AB200" s="25"/>
      <c r="AC200" s="25"/>
    </row>
    <row r="201" spans="1:29" x14ac:dyDescent="0.45">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651</v>
      </c>
      <c r="X201" s="17"/>
      <c r="Y201" s="25"/>
      <c r="Z201" s="25"/>
      <c r="AA201" s="25"/>
      <c r="AB201" s="25"/>
      <c r="AC201" s="25"/>
    </row>
    <row r="202" spans="1:29" x14ac:dyDescent="0.45">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652</v>
      </c>
      <c r="X202" s="17"/>
      <c r="Y202" s="25"/>
      <c r="Z202" s="25"/>
      <c r="AA202" s="25"/>
      <c r="AB202" s="25"/>
      <c r="AC202" s="25"/>
    </row>
    <row r="203" spans="1:29" x14ac:dyDescent="0.45">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653</v>
      </c>
      <c r="X203" s="17"/>
      <c r="Y203" s="25"/>
      <c r="Z203" s="25"/>
      <c r="AA203" s="25"/>
      <c r="AB203" s="25"/>
      <c r="AC203" s="25"/>
    </row>
    <row r="204" spans="1:29" x14ac:dyDescent="0.45">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654</v>
      </c>
      <c r="X204" s="17"/>
      <c r="Y204" s="25"/>
      <c r="Z204" s="25"/>
      <c r="AA204" s="25"/>
      <c r="AB204" s="25"/>
      <c r="AC204" s="25"/>
    </row>
    <row r="205" spans="1:29" x14ac:dyDescent="0.45">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655</v>
      </c>
      <c r="X205" s="17"/>
      <c r="Y205" s="25"/>
      <c r="Z205" s="25"/>
      <c r="AA205" s="25"/>
      <c r="AB205" s="25"/>
      <c r="AC205" s="25"/>
    </row>
    <row r="206" spans="1:29" x14ac:dyDescent="0.45">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656</v>
      </c>
      <c r="X206" s="17"/>
      <c r="Y206" s="25"/>
      <c r="Z206" s="25"/>
      <c r="AA206" s="25"/>
      <c r="AB206" s="25"/>
      <c r="AC206" s="25"/>
    </row>
    <row r="207" spans="1:29" x14ac:dyDescent="0.45">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657</v>
      </c>
      <c r="X207" s="17"/>
      <c r="Y207" s="25"/>
      <c r="Z207" s="25"/>
      <c r="AA207" s="25"/>
      <c r="AB207" s="25"/>
      <c r="AC207" s="25"/>
    </row>
    <row r="208" spans="1:29" x14ac:dyDescent="0.45">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658</v>
      </c>
      <c r="X208" s="17"/>
      <c r="Y208" s="25"/>
      <c r="Z208" s="25"/>
      <c r="AA208" s="25"/>
      <c r="AB208" s="25"/>
      <c r="AC208" s="25"/>
    </row>
    <row r="209" spans="1:29" x14ac:dyDescent="0.45">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659</v>
      </c>
      <c r="X209" s="17"/>
      <c r="Y209" s="25"/>
      <c r="Z209" s="25"/>
      <c r="AA209" s="25"/>
      <c r="AB209" s="25"/>
      <c r="AC209" s="25"/>
    </row>
    <row r="210" spans="1:29" x14ac:dyDescent="0.45">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660</v>
      </c>
      <c r="X210" s="17"/>
      <c r="Y210" s="25"/>
      <c r="Z210" s="25"/>
      <c r="AA210" s="25"/>
      <c r="AB210" s="25"/>
      <c r="AC210" s="25"/>
    </row>
    <row r="211" spans="1:29" x14ac:dyDescent="0.45">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661</v>
      </c>
      <c r="X211" s="17"/>
      <c r="Y211" s="25"/>
      <c r="Z211" s="25"/>
      <c r="AA211" s="25"/>
      <c r="AB211" s="25"/>
      <c r="AC211" s="25"/>
    </row>
    <row r="212" spans="1:29" x14ac:dyDescent="0.45">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662</v>
      </c>
      <c r="X212" s="17"/>
      <c r="Y212" s="25"/>
      <c r="Z212" s="25"/>
      <c r="AA212" s="25"/>
      <c r="AB212" s="25"/>
      <c r="AC212" s="25"/>
    </row>
    <row r="213" spans="1:29" x14ac:dyDescent="0.45">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663</v>
      </c>
      <c r="X213" s="17"/>
      <c r="Y213" s="25"/>
      <c r="Z213" s="25"/>
      <c r="AA213" s="25"/>
      <c r="AB213" s="25"/>
      <c r="AC213" s="25"/>
    </row>
    <row r="214" spans="1:29" x14ac:dyDescent="0.45">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664</v>
      </c>
      <c r="X214" s="17"/>
      <c r="Y214" s="25"/>
      <c r="Z214" s="25"/>
      <c r="AA214" s="25"/>
      <c r="AB214" s="25"/>
      <c r="AC214" s="25"/>
    </row>
    <row r="215" spans="1:29" x14ac:dyDescent="0.45">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665</v>
      </c>
      <c r="X215" s="17"/>
      <c r="Y215" s="25"/>
      <c r="Z215" s="25"/>
      <c r="AA215" s="25"/>
      <c r="AB215" s="25"/>
      <c r="AC215" s="25"/>
    </row>
    <row r="216" spans="1:29" x14ac:dyDescent="0.45">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666</v>
      </c>
      <c r="X216" s="17"/>
      <c r="Y216" s="25"/>
      <c r="Z216" s="25"/>
      <c r="AA216" s="25"/>
      <c r="AB216" s="25"/>
      <c r="AC216" s="25"/>
    </row>
    <row r="217" spans="1:29" x14ac:dyDescent="0.45">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667</v>
      </c>
      <c r="X217" s="17"/>
      <c r="Y217" s="25"/>
      <c r="Z217" s="25"/>
      <c r="AA217" s="25"/>
      <c r="AB217" s="25"/>
      <c r="AC217" s="25"/>
    </row>
    <row r="218" spans="1:29" x14ac:dyDescent="0.45">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668</v>
      </c>
      <c r="X218" s="17"/>
      <c r="Y218" s="25"/>
      <c r="Z218" s="25"/>
      <c r="AA218" s="25"/>
      <c r="AB218" s="25"/>
      <c r="AC218" s="25"/>
    </row>
    <row r="219" spans="1:29" x14ac:dyDescent="0.45">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669</v>
      </c>
      <c r="X219" s="17"/>
      <c r="Y219" s="25"/>
      <c r="Z219" s="25"/>
      <c r="AA219" s="25"/>
      <c r="AB219" s="25"/>
      <c r="AC219" s="25"/>
    </row>
    <row r="220" spans="1:29" x14ac:dyDescent="0.45">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670</v>
      </c>
      <c r="X220" s="17"/>
      <c r="Y220" s="25"/>
      <c r="Z220" s="25"/>
      <c r="AA220" s="25"/>
      <c r="AB220" s="25"/>
      <c r="AC220" s="25"/>
    </row>
    <row r="221" spans="1:29" x14ac:dyDescent="0.45">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671</v>
      </c>
      <c r="X221" s="17"/>
      <c r="Y221" s="25"/>
      <c r="Z221" s="25"/>
      <c r="AA221" s="25"/>
      <c r="AB221" s="25"/>
      <c r="AC221" s="25"/>
    </row>
    <row r="222" spans="1:29" x14ac:dyDescent="0.45">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672</v>
      </c>
      <c r="X222" s="17"/>
      <c r="Y222" s="25"/>
      <c r="Z222" s="25"/>
      <c r="AA222" s="25"/>
      <c r="AB222" s="25"/>
      <c r="AC222" s="25"/>
    </row>
    <row r="223" spans="1:29" x14ac:dyDescent="0.45">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673</v>
      </c>
      <c r="X223" s="17"/>
      <c r="Y223" s="25"/>
      <c r="Z223" s="25"/>
      <c r="AA223" s="25"/>
      <c r="AB223" s="25"/>
      <c r="AC223" s="25"/>
    </row>
    <row r="224" spans="1:29" x14ac:dyDescent="0.45">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674</v>
      </c>
      <c r="X224" s="17"/>
      <c r="Y224" s="25"/>
      <c r="Z224" s="25"/>
      <c r="AA224" s="25"/>
      <c r="AB224" s="25"/>
      <c r="AC224" s="25"/>
    </row>
    <row r="225" spans="1:29" x14ac:dyDescent="0.45">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675</v>
      </c>
      <c r="X225" s="17"/>
      <c r="Y225" s="25"/>
      <c r="Z225" s="25"/>
      <c r="AA225" s="25"/>
      <c r="AB225" s="25"/>
      <c r="AC225" s="25"/>
    </row>
    <row r="226" spans="1:29" x14ac:dyDescent="0.45">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676</v>
      </c>
      <c r="X226" s="17"/>
      <c r="Y226" s="25"/>
      <c r="Z226" s="25"/>
      <c r="AA226" s="25"/>
      <c r="AB226" s="25"/>
      <c r="AC226" s="25"/>
    </row>
    <row r="227" spans="1:29" x14ac:dyDescent="0.45">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677</v>
      </c>
      <c r="X227" s="17"/>
      <c r="Y227" s="25"/>
      <c r="Z227" s="25"/>
      <c r="AA227" s="25"/>
      <c r="AB227" s="25"/>
      <c r="AC227" s="25"/>
    </row>
    <row r="228" spans="1:29" x14ac:dyDescent="0.45">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678</v>
      </c>
      <c r="X228" s="17"/>
      <c r="Y228" s="25"/>
      <c r="Z228" s="25"/>
      <c r="AA228" s="25"/>
      <c r="AB228" s="25"/>
      <c r="AC228" s="25"/>
    </row>
    <row r="229" spans="1:29" x14ac:dyDescent="0.45">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679</v>
      </c>
      <c r="X229" s="17"/>
      <c r="Y229" s="25"/>
      <c r="Z229" s="25"/>
      <c r="AA229" s="25"/>
      <c r="AB229" s="25"/>
      <c r="AC229" s="25"/>
    </row>
    <row r="230" spans="1:29" x14ac:dyDescent="0.45">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680</v>
      </c>
      <c r="X230" s="17"/>
      <c r="Y230" s="25"/>
      <c r="Z230" s="25"/>
      <c r="AA230" s="25"/>
      <c r="AB230" s="25"/>
      <c r="AC230" s="25"/>
    </row>
    <row r="231" spans="1:29" x14ac:dyDescent="0.45">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681</v>
      </c>
      <c r="X231" s="17"/>
      <c r="Y231" s="25"/>
      <c r="Z231" s="25"/>
      <c r="AA231" s="25"/>
      <c r="AB231" s="25"/>
      <c r="AC231" s="25"/>
    </row>
    <row r="232" spans="1:29" x14ac:dyDescent="0.45">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682</v>
      </c>
      <c r="X232" s="17"/>
      <c r="Y232" s="25"/>
      <c r="Z232" s="25"/>
      <c r="AA232" s="25"/>
      <c r="AB232" s="25"/>
      <c r="AC232" s="25"/>
    </row>
    <row r="233" spans="1:29" x14ac:dyDescent="0.45">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683</v>
      </c>
      <c r="X233" s="17"/>
      <c r="Y233" s="25"/>
      <c r="Z233" s="25"/>
      <c r="AA233" s="25"/>
      <c r="AB233" s="25"/>
      <c r="AC233" s="25"/>
    </row>
    <row r="234" spans="1:29" x14ac:dyDescent="0.45">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684</v>
      </c>
      <c r="X234" s="17"/>
      <c r="Y234" s="25"/>
      <c r="Z234" s="25"/>
      <c r="AA234" s="25"/>
      <c r="AB234" s="25"/>
      <c r="AC234" s="25"/>
    </row>
    <row r="235" spans="1:29" x14ac:dyDescent="0.45">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685</v>
      </c>
      <c r="X235" s="17"/>
      <c r="Y235" s="25"/>
      <c r="Z235" s="25"/>
      <c r="AA235" s="25"/>
      <c r="AB235" s="25"/>
      <c r="AC235" s="25"/>
    </row>
    <row r="236" spans="1:29" x14ac:dyDescent="0.45">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686</v>
      </c>
      <c r="X236" s="17"/>
      <c r="Y236" s="25"/>
      <c r="Z236" s="25"/>
      <c r="AA236" s="25"/>
      <c r="AB236" s="25"/>
      <c r="AC236" s="25"/>
    </row>
    <row r="237" spans="1:29" x14ac:dyDescent="0.45">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687</v>
      </c>
      <c r="X237" s="17"/>
      <c r="Y237" s="25"/>
      <c r="Z237" s="25"/>
      <c r="AA237" s="25"/>
      <c r="AB237" s="25"/>
      <c r="AC237" s="25"/>
    </row>
    <row r="238" spans="1:29" x14ac:dyDescent="0.45">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688</v>
      </c>
      <c r="X238" s="17"/>
      <c r="Y238" s="25"/>
      <c r="Z238" s="25"/>
      <c r="AA238" s="25"/>
      <c r="AB238" s="25"/>
      <c r="AC238" s="25"/>
    </row>
    <row r="239" spans="1:29" x14ac:dyDescent="0.45">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689</v>
      </c>
      <c r="X239" s="17"/>
      <c r="Y239" s="25"/>
      <c r="Z239" s="25"/>
      <c r="AA239" s="25"/>
      <c r="AB239" s="25"/>
      <c r="AC239" s="25"/>
    </row>
    <row r="240" spans="1:29" x14ac:dyDescent="0.45">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690</v>
      </c>
      <c r="X240" s="17"/>
      <c r="Y240" s="25"/>
      <c r="Z240" s="25"/>
      <c r="AA240" s="25"/>
      <c r="AB240" s="25"/>
      <c r="AC240" s="25"/>
    </row>
    <row r="241" spans="1:29" x14ac:dyDescent="0.45">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691</v>
      </c>
      <c r="X241" s="17"/>
      <c r="Y241" s="25"/>
      <c r="Z241" s="25"/>
      <c r="AA241" s="25"/>
      <c r="AB241" s="25"/>
      <c r="AC241" s="25"/>
    </row>
    <row r="242" spans="1:29" x14ac:dyDescent="0.45">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692</v>
      </c>
      <c r="X242" s="17"/>
      <c r="Y242" s="25"/>
      <c r="Z242" s="25"/>
      <c r="AA242" s="25"/>
      <c r="AB242" s="25"/>
      <c r="AC242" s="25"/>
    </row>
    <row r="243" spans="1:29" x14ac:dyDescent="0.45">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693</v>
      </c>
      <c r="X243" s="17"/>
      <c r="Y243" s="25"/>
      <c r="Z243" s="25"/>
      <c r="AA243" s="25"/>
      <c r="AB243" s="25"/>
      <c r="AC243" s="25"/>
    </row>
    <row r="244" spans="1:29" x14ac:dyDescent="0.45">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694</v>
      </c>
      <c r="X244" s="17"/>
      <c r="Y244" s="25"/>
      <c r="Z244" s="25"/>
      <c r="AA244" s="25"/>
      <c r="AB244" s="25"/>
      <c r="AC244" s="25"/>
    </row>
    <row r="245" spans="1:29" x14ac:dyDescent="0.45">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695</v>
      </c>
      <c r="X245" s="17"/>
      <c r="Y245" s="25"/>
      <c r="Z245" s="25"/>
      <c r="AA245" s="25"/>
      <c r="AB245" s="25"/>
      <c r="AC245" s="25"/>
    </row>
    <row r="246" spans="1:29" x14ac:dyDescent="0.45">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696</v>
      </c>
      <c r="X246" s="17"/>
      <c r="Y246" s="25"/>
      <c r="Z246" s="25"/>
      <c r="AA246" s="25"/>
      <c r="AB246" s="25"/>
      <c r="AC246" s="25"/>
    </row>
    <row r="247" spans="1:29" x14ac:dyDescent="0.45">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697</v>
      </c>
      <c r="X247" s="17"/>
      <c r="Y247" s="25"/>
      <c r="Z247" s="25"/>
      <c r="AA247" s="25"/>
      <c r="AB247" s="25"/>
      <c r="AC247" s="25"/>
    </row>
    <row r="248" spans="1:29" x14ac:dyDescent="0.45">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698</v>
      </c>
      <c r="X248" s="17"/>
      <c r="Y248" s="25"/>
      <c r="Z248" s="25"/>
      <c r="AA248" s="25"/>
      <c r="AB248" s="25"/>
      <c r="AC248" s="25"/>
    </row>
    <row r="249" spans="1:29" x14ac:dyDescent="0.45">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699</v>
      </c>
      <c r="X249" s="17"/>
      <c r="Y249" s="25"/>
      <c r="Z249" s="25"/>
      <c r="AA249" s="25"/>
      <c r="AB249" s="25"/>
      <c r="AC249" s="25"/>
    </row>
    <row r="250" spans="1:29" x14ac:dyDescent="0.45">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700</v>
      </c>
      <c r="X250" s="17"/>
      <c r="Y250" s="25"/>
      <c r="Z250" s="25"/>
      <c r="AA250" s="25"/>
      <c r="AB250" s="25"/>
      <c r="AC250" s="25"/>
    </row>
    <row r="251" spans="1:29" x14ac:dyDescent="0.45">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701</v>
      </c>
      <c r="X251" s="17"/>
      <c r="Y251" s="25"/>
      <c r="Z251" s="25"/>
      <c r="AA251" s="25"/>
      <c r="AB251" s="25"/>
      <c r="AC251" s="25"/>
    </row>
    <row r="252" spans="1:29" x14ac:dyDescent="0.45">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702</v>
      </c>
      <c r="X252" s="17"/>
      <c r="Y252" s="25"/>
      <c r="Z252" s="25"/>
      <c r="AA252" s="25"/>
      <c r="AB252" s="25"/>
      <c r="AC252" s="25"/>
    </row>
    <row r="253" spans="1:29" x14ac:dyDescent="0.45">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703</v>
      </c>
      <c r="X253" s="17"/>
      <c r="Y253" s="25"/>
      <c r="Z253" s="25"/>
      <c r="AA253" s="25"/>
      <c r="AB253" s="25"/>
      <c r="AC253" s="25"/>
    </row>
    <row r="254" spans="1:29" x14ac:dyDescent="0.45">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704</v>
      </c>
      <c r="X254" s="17"/>
      <c r="Y254" s="25"/>
      <c r="Z254" s="25"/>
      <c r="AA254" s="25"/>
      <c r="AB254" s="25"/>
      <c r="AC254" s="25"/>
    </row>
    <row r="255" spans="1:29" x14ac:dyDescent="0.45">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705</v>
      </c>
      <c r="X255" s="17"/>
      <c r="Y255" s="25"/>
      <c r="Z255" s="25"/>
      <c r="AA255" s="25"/>
      <c r="AB255" s="25"/>
      <c r="AC255" s="25"/>
    </row>
    <row r="256" spans="1:29" x14ac:dyDescent="0.45">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706</v>
      </c>
      <c r="X256" s="17"/>
      <c r="Y256" s="25"/>
      <c r="Z256" s="25"/>
      <c r="AA256" s="25"/>
      <c r="AB256" s="25"/>
      <c r="AC256" s="25"/>
    </row>
    <row r="257" spans="1:29" x14ac:dyDescent="0.45">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707</v>
      </c>
      <c r="X257" s="17"/>
      <c r="Y257" s="25"/>
      <c r="Z257" s="25"/>
      <c r="AA257" s="25"/>
      <c r="AB257" s="25"/>
      <c r="AC257" s="25"/>
    </row>
    <row r="258" spans="1:29" x14ac:dyDescent="0.45">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708</v>
      </c>
      <c r="X258" s="17"/>
      <c r="Y258" s="25"/>
      <c r="Z258" s="25"/>
      <c r="AA258" s="25"/>
      <c r="AB258" s="25"/>
      <c r="AC258" s="25"/>
    </row>
    <row r="259" spans="1:29" x14ac:dyDescent="0.45">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709</v>
      </c>
      <c r="X259" s="17"/>
      <c r="Y259" s="25"/>
      <c r="Z259" s="25"/>
      <c r="AA259" s="25"/>
      <c r="AB259" s="25"/>
      <c r="AC259" s="25"/>
    </row>
    <row r="260" spans="1:29" x14ac:dyDescent="0.45">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710</v>
      </c>
      <c r="X260" s="17"/>
      <c r="Y260" s="25"/>
      <c r="Z260" s="25"/>
      <c r="AA260" s="25"/>
      <c r="AB260" s="25"/>
      <c r="AC260" s="25"/>
    </row>
    <row r="261" spans="1:29" x14ac:dyDescent="0.45">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711</v>
      </c>
      <c r="X261" s="17"/>
      <c r="Y261" s="25"/>
      <c r="Z261" s="25"/>
      <c r="AA261" s="25"/>
      <c r="AB261" s="25"/>
      <c r="AC261" s="25"/>
    </row>
    <row r="262" spans="1:29" x14ac:dyDescent="0.45">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712</v>
      </c>
      <c r="X262" s="17"/>
      <c r="Y262" s="25"/>
      <c r="Z262" s="25"/>
      <c r="AA262" s="25"/>
      <c r="AB262" s="25"/>
      <c r="AC262" s="25"/>
    </row>
    <row r="263" spans="1:29" x14ac:dyDescent="0.45">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713</v>
      </c>
      <c r="X263" s="17"/>
      <c r="Y263" s="25"/>
      <c r="Z263" s="25"/>
      <c r="AA263" s="25"/>
      <c r="AB263" s="25"/>
      <c r="AC263" s="25"/>
    </row>
    <row r="264" spans="1:29" x14ac:dyDescent="0.45">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714</v>
      </c>
      <c r="X264" s="17"/>
      <c r="Y264" s="25"/>
      <c r="Z264" s="25"/>
      <c r="AA264" s="25"/>
      <c r="AB264" s="25"/>
      <c r="AC264" s="25"/>
    </row>
    <row r="265" spans="1:29" x14ac:dyDescent="0.45">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715</v>
      </c>
      <c r="X265" s="17"/>
      <c r="Y265" s="25"/>
      <c r="Z265" s="25"/>
      <c r="AA265" s="25"/>
      <c r="AB265" s="25"/>
      <c r="AC265" s="25"/>
    </row>
    <row r="266" spans="1:29" x14ac:dyDescent="0.45">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716</v>
      </c>
      <c r="X266" s="17"/>
      <c r="Y266" s="25"/>
      <c r="Z266" s="25"/>
      <c r="AA266" s="25"/>
      <c r="AB266" s="25"/>
      <c r="AC266" s="25"/>
    </row>
    <row r="267" spans="1:29" x14ac:dyDescent="0.45">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717</v>
      </c>
      <c r="X267" s="17"/>
      <c r="Y267" s="25"/>
      <c r="Z267" s="25"/>
      <c r="AA267" s="25"/>
      <c r="AB267" s="25"/>
      <c r="AC267" s="25"/>
    </row>
    <row r="268" spans="1:29" x14ac:dyDescent="0.45">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718</v>
      </c>
      <c r="X268" s="17"/>
      <c r="Y268" s="25"/>
      <c r="Z268" s="25"/>
      <c r="AA268" s="25"/>
      <c r="AB268" s="25"/>
      <c r="AC268" s="25"/>
    </row>
    <row r="269" spans="1:29" x14ac:dyDescent="0.45">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719</v>
      </c>
      <c r="X269" s="17"/>
      <c r="Y269" s="25"/>
      <c r="Z269" s="25"/>
      <c r="AA269" s="25"/>
      <c r="AB269" s="25"/>
      <c r="AC269" s="25"/>
    </row>
    <row r="270" spans="1:29" x14ac:dyDescent="0.45">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720</v>
      </c>
      <c r="X270" s="17"/>
      <c r="Y270" s="25"/>
      <c r="Z270" s="25"/>
      <c r="AA270" s="25"/>
      <c r="AB270" s="25"/>
      <c r="AC270" s="25"/>
    </row>
    <row r="271" spans="1:29" x14ac:dyDescent="0.45">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721</v>
      </c>
      <c r="X271" s="17"/>
      <c r="Y271" s="25"/>
      <c r="Z271" s="25"/>
      <c r="AA271" s="25"/>
      <c r="AB271" s="25"/>
      <c r="AC271" s="25"/>
    </row>
    <row r="272" spans="1:29" x14ac:dyDescent="0.45">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722</v>
      </c>
      <c r="X272" s="17"/>
      <c r="Y272" s="25"/>
      <c r="Z272" s="25"/>
      <c r="AA272" s="25"/>
      <c r="AB272" s="25"/>
      <c r="AC272" s="25"/>
    </row>
    <row r="273" spans="1:29" x14ac:dyDescent="0.45">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723</v>
      </c>
      <c r="X273" s="17"/>
      <c r="Y273" s="25"/>
      <c r="Z273" s="25"/>
      <c r="AA273" s="25"/>
      <c r="AB273" s="25"/>
      <c r="AC273" s="25"/>
    </row>
    <row r="274" spans="1:29" x14ac:dyDescent="0.45">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724</v>
      </c>
      <c r="X274" s="17"/>
      <c r="Y274" s="25"/>
      <c r="Z274" s="25"/>
      <c r="AA274" s="25"/>
      <c r="AB274" s="25"/>
      <c r="AC274" s="25"/>
    </row>
    <row r="275" spans="1:29" x14ac:dyDescent="0.45">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725</v>
      </c>
      <c r="X275" s="17"/>
      <c r="Y275" s="25"/>
      <c r="Z275" s="25"/>
      <c r="AA275" s="25"/>
      <c r="AB275" s="25"/>
      <c r="AC275" s="25"/>
    </row>
    <row r="276" spans="1:29" x14ac:dyDescent="0.45">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726</v>
      </c>
      <c r="X276" s="17"/>
      <c r="Y276" s="25"/>
      <c r="Z276" s="25"/>
      <c r="AA276" s="25"/>
      <c r="AB276" s="25"/>
      <c r="AC276" s="25"/>
    </row>
    <row r="277" spans="1:29" x14ac:dyDescent="0.45">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727</v>
      </c>
      <c r="X277" s="17"/>
      <c r="Y277" s="25"/>
      <c r="Z277" s="25"/>
      <c r="AA277" s="25"/>
      <c r="AB277" s="25"/>
      <c r="AC277" s="25"/>
    </row>
    <row r="278" spans="1:29" x14ac:dyDescent="0.45">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728</v>
      </c>
      <c r="X278" s="17"/>
      <c r="Y278" s="25"/>
      <c r="Z278" s="25"/>
      <c r="AA278" s="25"/>
      <c r="AB278" s="25"/>
      <c r="AC278" s="25"/>
    </row>
    <row r="279" spans="1:29" x14ac:dyDescent="0.45">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729</v>
      </c>
      <c r="X279" s="17"/>
      <c r="Y279" s="25"/>
      <c r="Z279" s="25"/>
      <c r="AA279" s="25"/>
      <c r="AB279" s="25"/>
      <c r="AC279" s="25"/>
    </row>
    <row r="280" spans="1:29" x14ac:dyDescent="0.45">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730</v>
      </c>
      <c r="X280" s="17"/>
      <c r="Y280" s="25"/>
      <c r="Z280" s="25"/>
      <c r="AA280" s="25"/>
      <c r="AB280" s="25"/>
      <c r="AC280" s="25"/>
    </row>
    <row r="281" spans="1:29" x14ac:dyDescent="0.45">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731</v>
      </c>
      <c r="X281" s="17"/>
      <c r="Y281" s="25"/>
      <c r="Z281" s="25"/>
      <c r="AA281" s="25"/>
      <c r="AB281" s="25"/>
      <c r="AC281" s="25"/>
    </row>
    <row r="282" spans="1:29" x14ac:dyDescent="0.45">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732</v>
      </c>
      <c r="X282" s="17"/>
      <c r="Y282" s="25"/>
      <c r="Z282" s="25"/>
      <c r="AA282" s="25"/>
      <c r="AB282" s="25"/>
      <c r="AC282" s="25"/>
    </row>
    <row r="283" spans="1:29" x14ac:dyDescent="0.45">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733</v>
      </c>
      <c r="X283" s="17"/>
      <c r="Y283" s="25"/>
      <c r="Z283" s="25"/>
      <c r="AA283" s="25"/>
      <c r="AB283" s="25"/>
      <c r="AC283" s="25"/>
    </row>
    <row r="284" spans="1:29" x14ac:dyDescent="0.45">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734</v>
      </c>
      <c r="X284" s="17"/>
      <c r="Y284" s="25"/>
      <c r="Z284" s="25"/>
      <c r="AA284" s="25"/>
      <c r="AB284" s="25"/>
      <c r="AC284" s="25"/>
    </row>
    <row r="285" spans="1:29" x14ac:dyDescent="0.45">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735</v>
      </c>
      <c r="X285" s="17"/>
      <c r="Y285" s="25"/>
      <c r="Z285" s="25"/>
      <c r="AA285" s="25"/>
      <c r="AB285" s="25"/>
      <c r="AC285" s="25"/>
    </row>
    <row r="286" spans="1:29" x14ac:dyDescent="0.45">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736</v>
      </c>
      <c r="X286" s="17"/>
      <c r="Y286" s="25"/>
      <c r="Z286" s="25"/>
      <c r="AA286" s="25"/>
      <c r="AB286" s="25"/>
      <c r="AC286" s="25"/>
    </row>
    <row r="287" spans="1:29" x14ac:dyDescent="0.45">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737</v>
      </c>
      <c r="X287" s="17"/>
      <c r="Y287" s="25"/>
      <c r="Z287" s="25"/>
      <c r="AA287" s="25"/>
      <c r="AB287" s="25"/>
      <c r="AC287" s="25"/>
    </row>
    <row r="288" spans="1:29" x14ac:dyDescent="0.45">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738</v>
      </c>
      <c r="X288" s="17"/>
      <c r="Y288" s="25"/>
      <c r="Z288" s="25"/>
      <c r="AA288" s="25"/>
      <c r="AB288" s="25"/>
      <c r="AC288" s="25"/>
    </row>
    <row r="289" spans="1:29" x14ac:dyDescent="0.45">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739</v>
      </c>
      <c r="X289" s="17"/>
      <c r="Y289" s="25"/>
      <c r="Z289" s="25"/>
      <c r="AA289" s="25"/>
      <c r="AB289" s="25"/>
      <c r="AC289" s="25"/>
    </row>
    <row r="290" spans="1:29" x14ac:dyDescent="0.45">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740</v>
      </c>
      <c r="X290" s="17"/>
      <c r="Y290" s="25"/>
      <c r="Z290" s="25"/>
      <c r="AA290" s="25"/>
      <c r="AB290" s="25"/>
      <c r="AC290" s="25"/>
    </row>
    <row r="291" spans="1:29" x14ac:dyDescent="0.45">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741</v>
      </c>
      <c r="X291" s="17"/>
      <c r="Y291" s="25"/>
      <c r="Z291" s="25"/>
      <c r="AA291" s="25"/>
      <c r="AB291" s="25"/>
      <c r="AC291" s="25"/>
    </row>
    <row r="292" spans="1:29" x14ac:dyDescent="0.45">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742</v>
      </c>
      <c r="X292" s="17"/>
      <c r="Y292" s="25"/>
      <c r="Z292" s="25"/>
      <c r="AA292" s="25"/>
      <c r="AB292" s="25"/>
      <c r="AC292" s="25"/>
    </row>
    <row r="293" spans="1:29" x14ac:dyDescent="0.45">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743</v>
      </c>
      <c r="X293" s="17"/>
      <c r="Y293" s="25"/>
      <c r="Z293" s="25"/>
      <c r="AA293" s="25"/>
      <c r="AB293" s="25"/>
      <c r="AC293" s="25"/>
    </row>
    <row r="294" spans="1:29" x14ac:dyDescent="0.45">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744</v>
      </c>
      <c r="X294" s="17"/>
      <c r="Y294" s="25"/>
      <c r="Z294" s="25"/>
      <c r="AA294" s="25"/>
      <c r="AB294" s="25"/>
      <c r="AC294" s="25"/>
    </row>
    <row r="295" spans="1:29" x14ac:dyDescent="0.45">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745</v>
      </c>
      <c r="X295" s="17"/>
      <c r="Y295" s="25"/>
      <c r="Z295" s="25"/>
      <c r="AA295" s="25"/>
      <c r="AB295" s="25"/>
      <c r="AC295" s="25"/>
    </row>
    <row r="296" spans="1:29" x14ac:dyDescent="0.45">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746</v>
      </c>
      <c r="X296" s="17"/>
      <c r="Y296" s="25"/>
      <c r="Z296" s="25"/>
      <c r="AA296" s="25"/>
      <c r="AB296" s="25"/>
      <c r="AC296" s="25"/>
    </row>
    <row r="297" spans="1:29" x14ac:dyDescent="0.45">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747</v>
      </c>
      <c r="X297" s="17"/>
      <c r="Y297" s="25"/>
      <c r="Z297" s="25"/>
      <c r="AA297" s="25"/>
      <c r="AB297" s="25"/>
      <c r="AC297" s="25"/>
    </row>
    <row r="298" spans="1:29" x14ac:dyDescent="0.45">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748</v>
      </c>
      <c r="X298" s="17"/>
      <c r="Y298" s="25"/>
      <c r="Z298" s="25"/>
      <c r="AA298" s="25"/>
      <c r="AB298" s="25"/>
      <c r="AC298" s="25"/>
    </row>
    <row r="299" spans="1:29" x14ac:dyDescent="0.45">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749</v>
      </c>
      <c r="X299" s="17"/>
      <c r="Y299" s="25"/>
      <c r="Z299" s="25"/>
      <c r="AA299" s="25"/>
      <c r="AB299" s="25"/>
      <c r="AC299" s="25"/>
    </row>
    <row r="300" spans="1:29" x14ac:dyDescent="0.45">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750</v>
      </c>
      <c r="X300" s="17"/>
      <c r="Y300" s="25"/>
      <c r="Z300" s="25"/>
      <c r="AA300" s="25"/>
      <c r="AB300" s="25"/>
      <c r="AC300" s="25"/>
    </row>
    <row r="301" spans="1:29" x14ac:dyDescent="0.45">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751</v>
      </c>
      <c r="X301" s="17"/>
      <c r="Y301" s="25"/>
      <c r="Z301" s="25"/>
      <c r="AA301" s="25"/>
      <c r="AB301" s="25"/>
      <c r="AC301" s="25"/>
    </row>
    <row r="302" spans="1:29" x14ac:dyDescent="0.45">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752</v>
      </c>
      <c r="X302" s="17"/>
      <c r="Y302" s="25"/>
      <c r="Z302" s="25"/>
      <c r="AA302" s="25"/>
      <c r="AB302" s="25"/>
      <c r="AC302" s="25"/>
    </row>
    <row r="303" spans="1:29" x14ac:dyDescent="0.45">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753</v>
      </c>
      <c r="X303" s="17"/>
      <c r="Y303" s="25"/>
      <c r="Z303" s="25"/>
      <c r="AA303" s="25"/>
      <c r="AB303" s="25"/>
      <c r="AC303" s="25"/>
    </row>
    <row r="304" spans="1:29" x14ac:dyDescent="0.45">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754</v>
      </c>
      <c r="X304" s="17"/>
      <c r="Y304" s="25"/>
      <c r="Z304" s="25"/>
      <c r="AA304" s="25"/>
      <c r="AB304" s="25"/>
      <c r="AC304" s="25"/>
    </row>
    <row r="305" spans="1:29" x14ac:dyDescent="0.45">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755</v>
      </c>
      <c r="X305" s="17"/>
      <c r="Y305" s="25"/>
      <c r="Z305" s="25"/>
      <c r="AA305" s="25"/>
      <c r="AB305" s="25"/>
      <c r="AC305" s="25"/>
    </row>
    <row r="306" spans="1:29" x14ac:dyDescent="0.45">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756</v>
      </c>
      <c r="X306" s="17"/>
      <c r="Y306" s="25"/>
      <c r="Z306" s="25"/>
      <c r="AA306" s="25"/>
      <c r="AB306" s="25"/>
      <c r="AC306" s="25"/>
    </row>
    <row r="307" spans="1:29" x14ac:dyDescent="0.45">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757</v>
      </c>
      <c r="X307" s="17"/>
      <c r="Y307" s="25"/>
      <c r="Z307" s="25"/>
      <c r="AA307" s="25"/>
      <c r="AB307" s="25"/>
      <c r="AC307" s="25"/>
    </row>
    <row r="308" spans="1:29" x14ac:dyDescent="0.45">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758</v>
      </c>
      <c r="X308" s="17"/>
      <c r="Y308" s="25"/>
      <c r="Z308" s="25"/>
      <c r="AA308" s="25"/>
      <c r="AB308" s="25"/>
      <c r="AC308" s="25"/>
    </row>
    <row r="309" spans="1:29" x14ac:dyDescent="0.45">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759</v>
      </c>
      <c r="X309" s="17"/>
      <c r="Y309" s="25"/>
      <c r="Z309" s="25"/>
      <c r="AA309" s="25"/>
      <c r="AB309" s="25"/>
      <c r="AC309" s="25"/>
    </row>
    <row r="310" spans="1:29" x14ac:dyDescent="0.45">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760</v>
      </c>
      <c r="X310" s="17"/>
      <c r="Y310" s="25"/>
      <c r="Z310" s="25"/>
      <c r="AA310" s="25"/>
      <c r="AB310" s="25"/>
      <c r="AC310" s="25"/>
    </row>
    <row r="311" spans="1:29" x14ac:dyDescent="0.45">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761</v>
      </c>
      <c r="X311" s="17"/>
      <c r="Y311" s="25"/>
      <c r="Z311" s="25"/>
      <c r="AA311" s="25"/>
      <c r="AB311" s="25"/>
      <c r="AC311" s="25"/>
    </row>
    <row r="312" spans="1:29" x14ac:dyDescent="0.45">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762</v>
      </c>
      <c r="X312" s="17"/>
      <c r="Y312" s="25"/>
      <c r="Z312" s="25"/>
      <c r="AA312" s="25"/>
      <c r="AB312" s="25"/>
      <c r="AC312" s="25"/>
    </row>
    <row r="313" spans="1:29" x14ac:dyDescent="0.45">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763</v>
      </c>
      <c r="X313" s="17"/>
      <c r="Y313" s="25"/>
      <c r="Z313" s="25"/>
      <c r="AA313" s="25"/>
      <c r="AB313" s="25"/>
      <c r="AC313" s="25"/>
    </row>
    <row r="314" spans="1:29" x14ac:dyDescent="0.45">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764</v>
      </c>
      <c r="X314" s="17"/>
      <c r="Y314" s="25"/>
      <c r="Z314" s="25"/>
      <c r="AA314" s="25"/>
      <c r="AB314" s="25"/>
      <c r="AC314" s="25"/>
    </row>
    <row r="315" spans="1:29" x14ac:dyDescent="0.45">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765</v>
      </c>
      <c r="X315" s="17"/>
      <c r="Y315" s="25"/>
      <c r="Z315" s="25"/>
      <c r="AA315" s="25"/>
      <c r="AB315" s="25"/>
      <c r="AC315" s="25"/>
    </row>
    <row r="316" spans="1:29" x14ac:dyDescent="0.45">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766</v>
      </c>
      <c r="X316" s="17"/>
      <c r="Y316" s="25"/>
      <c r="Z316" s="25"/>
      <c r="AA316" s="25"/>
      <c r="AB316" s="25"/>
      <c r="AC316" s="25"/>
    </row>
    <row r="317" spans="1:29" x14ac:dyDescent="0.45">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767</v>
      </c>
      <c r="X317" s="17"/>
      <c r="Y317" s="25"/>
      <c r="Z317" s="25"/>
      <c r="AA317" s="25"/>
      <c r="AB317" s="25"/>
      <c r="AC317" s="25"/>
    </row>
    <row r="318" spans="1:29" x14ac:dyDescent="0.45">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768</v>
      </c>
      <c r="X318" s="17"/>
      <c r="Y318" s="25"/>
      <c r="Z318" s="25"/>
      <c r="AA318" s="25"/>
      <c r="AB318" s="25"/>
      <c r="AC318" s="25"/>
    </row>
    <row r="319" spans="1:29" x14ac:dyDescent="0.45">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769</v>
      </c>
      <c r="X319" s="17"/>
      <c r="Y319" s="25"/>
      <c r="Z319" s="25"/>
      <c r="AA319" s="25"/>
      <c r="AB319" s="25"/>
      <c r="AC319" s="25"/>
    </row>
    <row r="320" spans="1:29" x14ac:dyDescent="0.45">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770</v>
      </c>
      <c r="X320" s="17"/>
      <c r="Y320" s="25"/>
      <c r="Z320" s="25"/>
      <c r="AA320" s="25"/>
      <c r="AB320" s="25"/>
      <c r="AC320" s="25"/>
    </row>
    <row r="321" spans="1:29" x14ac:dyDescent="0.45">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771</v>
      </c>
      <c r="X321" s="17"/>
      <c r="Y321" s="25"/>
      <c r="Z321" s="25"/>
      <c r="AA321" s="25"/>
      <c r="AB321" s="25"/>
      <c r="AC321" s="25"/>
    </row>
    <row r="322" spans="1:29" x14ac:dyDescent="0.45">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772</v>
      </c>
      <c r="X322" s="17"/>
      <c r="Y322" s="25"/>
      <c r="Z322" s="25"/>
      <c r="AA322" s="25"/>
      <c r="AB322" s="25"/>
      <c r="AC322" s="25"/>
    </row>
    <row r="323" spans="1:29" x14ac:dyDescent="0.45">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773</v>
      </c>
      <c r="X323" s="17"/>
      <c r="Y323" s="25"/>
      <c r="Z323" s="25"/>
      <c r="AA323" s="25"/>
      <c r="AB323" s="25"/>
      <c r="AC323" s="25"/>
    </row>
    <row r="324" spans="1:29" x14ac:dyDescent="0.45">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774</v>
      </c>
      <c r="X324" s="17"/>
      <c r="Y324" s="25"/>
      <c r="Z324" s="25"/>
      <c r="AA324" s="25"/>
      <c r="AB324" s="25"/>
      <c r="AC324" s="25"/>
    </row>
    <row r="325" spans="1:29" x14ac:dyDescent="0.45">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775</v>
      </c>
      <c r="X325" s="17"/>
      <c r="Y325" s="25"/>
      <c r="Z325" s="25"/>
      <c r="AA325" s="25"/>
      <c r="AB325" s="25"/>
      <c r="AC325" s="25"/>
    </row>
    <row r="326" spans="1:29" x14ac:dyDescent="0.45">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776</v>
      </c>
      <c r="X326" s="17"/>
      <c r="Y326" s="25"/>
      <c r="Z326" s="25"/>
      <c r="AA326" s="25"/>
      <c r="AB326" s="25"/>
      <c r="AC326" s="25"/>
    </row>
    <row r="327" spans="1:29" x14ac:dyDescent="0.45">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777</v>
      </c>
      <c r="X327" s="17"/>
      <c r="Y327" s="25"/>
      <c r="Z327" s="25"/>
      <c r="AA327" s="25"/>
      <c r="AB327" s="25"/>
      <c r="AC327" s="25"/>
    </row>
    <row r="328" spans="1:29" x14ac:dyDescent="0.45">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778</v>
      </c>
      <c r="X328" s="17"/>
      <c r="Y328" s="25"/>
      <c r="Z328" s="25"/>
      <c r="AA328" s="25"/>
      <c r="AB328" s="25"/>
      <c r="AC328" s="25"/>
    </row>
    <row r="329" spans="1:29" x14ac:dyDescent="0.45">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779</v>
      </c>
      <c r="X329" s="17"/>
      <c r="Y329" s="25"/>
      <c r="Z329" s="25"/>
      <c r="AA329" s="25"/>
      <c r="AB329" s="25"/>
      <c r="AC329" s="25"/>
    </row>
    <row r="330" spans="1:29" x14ac:dyDescent="0.45">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780</v>
      </c>
      <c r="X330" s="17"/>
      <c r="Y330" s="25"/>
      <c r="Z330" s="25"/>
      <c r="AA330" s="25"/>
      <c r="AB330" s="25"/>
      <c r="AC330" s="25"/>
    </row>
    <row r="331" spans="1:29" x14ac:dyDescent="0.45">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781</v>
      </c>
      <c r="X331" s="17"/>
      <c r="Y331" s="25"/>
      <c r="Z331" s="25"/>
      <c r="AA331" s="25"/>
      <c r="AB331" s="25"/>
      <c r="AC331" s="25"/>
    </row>
    <row r="332" spans="1:29" x14ac:dyDescent="0.45">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782</v>
      </c>
      <c r="X332" s="17"/>
      <c r="Y332" s="25"/>
      <c r="Z332" s="25"/>
      <c r="AA332" s="25"/>
      <c r="AB332" s="25"/>
      <c r="AC332" s="25"/>
    </row>
    <row r="333" spans="1:29" x14ac:dyDescent="0.45">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783</v>
      </c>
      <c r="X333" s="17"/>
      <c r="Y333" s="25"/>
      <c r="Z333" s="25"/>
      <c r="AA333" s="25"/>
      <c r="AB333" s="25"/>
      <c r="AC333" s="25"/>
    </row>
    <row r="334" spans="1:29" x14ac:dyDescent="0.45">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784</v>
      </c>
      <c r="X334" s="17"/>
      <c r="Y334" s="25"/>
      <c r="Z334" s="25"/>
      <c r="AA334" s="25"/>
      <c r="AB334" s="25"/>
      <c r="AC334" s="25"/>
    </row>
    <row r="335" spans="1:29" x14ac:dyDescent="0.45">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785</v>
      </c>
      <c r="X335" s="17"/>
      <c r="Y335" s="25"/>
      <c r="Z335" s="25"/>
      <c r="AA335" s="25"/>
      <c r="AB335" s="25"/>
      <c r="AC335" s="25"/>
    </row>
    <row r="336" spans="1:29" x14ac:dyDescent="0.45">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786</v>
      </c>
      <c r="X336" s="17"/>
      <c r="Y336" s="25"/>
      <c r="Z336" s="25"/>
      <c r="AA336" s="25"/>
      <c r="AB336" s="25"/>
      <c r="AC336" s="25"/>
    </row>
    <row r="337" spans="1:29" x14ac:dyDescent="0.45">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787</v>
      </c>
      <c r="X337" s="17"/>
      <c r="Y337" s="25"/>
      <c r="Z337" s="25"/>
      <c r="AA337" s="25"/>
      <c r="AB337" s="25"/>
      <c r="AC337" s="25"/>
    </row>
    <row r="338" spans="1:29" x14ac:dyDescent="0.45">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788</v>
      </c>
      <c r="X338" s="17"/>
      <c r="Y338" s="25"/>
      <c r="Z338" s="25"/>
      <c r="AA338" s="25"/>
      <c r="AB338" s="25"/>
      <c r="AC338" s="25"/>
    </row>
    <row r="339" spans="1:29" x14ac:dyDescent="0.45">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789</v>
      </c>
      <c r="X339" s="17"/>
      <c r="Y339" s="25"/>
      <c r="Z339" s="25"/>
      <c r="AA339" s="25"/>
      <c r="AB339" s="25"/>
      <c r="AC339" s="25"/>
    </row>
    <row r="340" spans="1:29" x14ac:dyDescent="0.45">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790</v>
      </c>
      <c r="X340" s="17"/>
      <c r="Y340" s="25"/>
      <c r="Z340" s="25"/>
      <c r="AA340" s="25"/>
      <c r="AB340" s="25"/>
      <c r="AC340" s="25"/>
    </row>
    <row r="341" spans="1:29" x14ac:dyDescent="0.45">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791</v>
      </c>
      <c r="X341" s="17"/>
      <c r="Y341" s="25"/>
      <c r="Z341" s="25"/>
      <c r="AA341" s="25"/>
      <c r="AB341" s="25"/>
      <c r="AC341" s="25"/>
    </row>
    <row r="342" spans="1:29" x14ac:dyDescent="0.45">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792</v>
      </c>
      <c r="X342" s="17"/>
      <c r="Y342" s="25"/>
      <c r="Z342" s="25"/>
      <c r="AA342" s="25"/>
      <c r="AB342" s="25"/>
      <c r="AC342" s="25"/>
    </row>
    <row r="343" spans="1:29" x14ac:dyDescent="0.45">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793</v>
      </c>
      <c r="X343" s="17"/>
      <c r="Y343" s="25"/>
      <c r="Z343" s="25"/>
      <c r="AA343" s="25"/>
      <c r="AB343" s="25"/>
      <c r="AC343" s="25"/>
    </row>
    <row r="344" spans="1:29" x14ac:dyDescent="0.45">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794</v>
      </c>
      <c r="X344" s="17"/>
      <c r="Y344" s="25"/>
      <c r="Z344" s="25"/>
      <c r="AA344" s="25"/>
      <c r="AB344" s="25"/>
      <c r="AC344" s="25"/>
    </row>
    <row r="345" spans="1:29" x14ac:dyDescent="0.45">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795</v>
      </c>
      <c r="X345" s="17"/>
      <c r="Y345" s="25"/>
      <c r="Z345" s="25"/>
      <c r="AA345" s="25"/>
      <c r="AB345" s="25"/>
      <c r="AC345" s="25"/>
    </row>
    <row r="346" spans="1:29" x14ac:dyDescent="0.45">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796</v>
      </c>
      <c r="X346" s="17"/>
      <c r="Y346" s="25"/>
      <c r="Z346" s="25"/>
      <c r="AA346" s="25"/>
      <c r="AB346" s="25"/>
      <c r="AC346" s="25"/>
    </row>
    <row r="347" spans="1:29" x14ac:dyDescent="0.45">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797</v>
      </c>
      <c r="X347" s="17"/>
      <c r="Y347" s="25"/>
      <c r="Z347" s="25"/>
      <c r="AA347" s="25"/>
      <c r="AB347" s="25"/>
      <c r="AC347" s="25"/>
    </row>
    <row r="348" spans="1:29" x14ac:dyDescent="0.45">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798</v>
      </c>
      <c r="X348" s="17"/>
      <c r="Y348" s="25"/>
      <c r="Z348" s="25"/>
      <c r="AA348" s="25"/>
      <c r="AB348" s="25"/>
      <c r="AC348" s="25"/>
    </row>
    <row r="349" spans="1:29" x14ac:dyDescent="0.45">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799</v>
      </c>
      <c r="X349" s="17"/>
      <c r="Y349" s="25"/>
      <c r="Z349" s="25"/>
      <c r="AA349" s="25"/>
      <c r="AB349" s="25"/>
      <c r="AC349" s="25"/>
    </row>
    <row r="350" spans="1:29" x14ac:dyDescent="0.45">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800</v>
      </c>
      <c r="X350" s="17"/>
      <c r="Y350" s="25"/>
      <c r="Z350" s="25"/>
      <c r="AA350" s="25"/>
      <c r="AB350" s="25"/>
      <c r="AC350" s="25"/>
    </row>
    <row r="351" spans="1:29" x14ac:dyDescent="0.45">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801</v>
      </c>
      <c r="X351" s="17"/>
      <c r="Y351" s="25"/>
      <c r="Z351" s="25"/>
      <c r="AA351" s="25"/>
      <c r="AB351" s="25"/>
      <c r="AC351" s="25"/>
    </row>
    <row r="352" spans="1:29" x14ac:dyDescent="0.45">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802</v>
      </c>
      <c r="X352" s="17"/>
      <c r="Y352" s="25"/>
      <c r="Z352" s="25"/>
      <c r="AA352" s="25"/>
      <c r="AB352" s="25"/>
      <c r="AC352" s="25"/>
    </row>
    <row r="353" spans="1:29" x14ac:dyDescent="0.45">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803</v>
      </c>
      <c r="X353" s="17"/>
      <c r="Y353" s="25"/>
      <c r="Z353" s="25"/>
      <c r="AA353" s="25"/>
      <c r="AB353" s="25"/>
      <c r="AC353" s="25"/>
    </row>
    <row r="354" spans="1:29" x14ac:dyDescent="0.45">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804</v>
      </c>
      <c r="X354" s="17"/>
      <c r="Y354" s="25"/>
      <c r="Z354" s="25"/>
      <c r="AA354" s="25"/>
      <c r="AB354" s="25"/>
      <c r="AC354" s="25"/>
    </row>
    <row r="355" spans="1:29" x14ac:dyDescent="0.45">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805</v>
      </c>
      <c r="X355" s="17"/>
      <c r="Y355" s="25"/>
      <c r="Z355" s="25"/>
      <c r="AA355" s="25"/>
      <c r="AB355" s="25"/>
      <c r="AC355" s="25"/>
    </row>
    <row r="356" spans="1:29" x14ac:dyDescent="0.45">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806</v>
      </c>
      <c r="X356" s="17"/>
      <c r="Y356" s="25"/>
      <c r="Z356" s="25"/>
      <c r="AA356" s="25"/>
      <c r="AB356" s="25"/>
      <c r="AC356" s="25"/>
    </row>
    <row r="357" spans="1:29" x14ac:dyDescent="0.45">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807</v>
      </c>
      <c r="X357" s="17"/>
      <c r="Y357" s="25"/>
      <c r="Z357" s="25"/>
      <c r="AA357" s="25"/>
      <c r="AB357" s="25"/>
      <c r="AC357" s="25"/>
    </row>
    <row r="358" spans="1:29" x14ac:dyDescent="0.45">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808</v>
      </c>
      <c r="X358" s="17"/>
      <c r="Y358" s="25"/>
      <c r="Z358" s="25"/>
      <c r="AA358" s="25"/>
      <c r="AB358" s="25"/>
      <c r="AC358" s="25"/>
    </row>
    <row r="359" spans="1:29" x14ac:dyDescent="0.45">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809</v>
      </c>
      <c r="X359" s="17"/>
      <c r="Y359" s="25"/>
      <c r="Z359" s="25"/>
      <c r="AA359" s="25"/>
      <c r="AB359" s="25"/>
      <c r="AC359" s="25"/>
    </row>
    <row r="360" spans="1:29" x14ac:dyDescent="0.45">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810</v>
      </c>
      <c r="X360" s="17"/>
      <c r="Y360" s="25"/>
      <c r="Z360" s="25"/>
      <c r="AA360" s="25"/>
      <c r="AB360" s="25"/>
      <c r="AC360" s="25"/>
    </row>
    <row r="361" spans="1:29" x14ac:dyDescent="0.45">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811</v>
      </c>
      <c r="X361" s="17"/>
      <c r="Y361" s="25"/>
      <c r="Z361" s="25"/>
      <c r="AA361" s="25"/>
      <c r="AB361" s="25"/>
      <c r="AC361" s="25"/>
    </row>
    <row r="362" spans="1:29" x14ac:dyDescent="0.45">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812</v>
      </c>
      <c r="X362" s="17"/>
      <c r="Y362" s="25"/>
      <c r="Z362" s="25"/>
      <c r="AA362" s="25"/>
      <c r="AB362" s="25"/>
      <c r="AC362" s="25"/>
    </row>
    <row r="363" spans="1:29" x14ac:dyDescent="0.45">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813</v>
      </c>
      <c r="X363" s="17"/>
      <c r="Y363" s="25"/>
      <c r="Z363" s="25"/>
      <c r="AA363" s="25"/>
      <c r="AB363" s="25"/>
      <c r="AC363" s="25"/>
    </row>
    <row r="364" spans="1:29" x14ac:dyDescent="0.45">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814</v>
      </c>
      <c r="X364" s="17"/>
      <c r="Y364" s="25"/>
      <c r="Z364" s="25"/>
      <c r="AA364" s="25"/>
      <c r="AB364" s="25"/>
      <c r="AC364" s="25"/>
    </row>
    <row r="365" spans="1:29" x14ac:dyDescent="0.45">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815</v>
      </c>
      <c r="X365" s="17"/>
      <c r="Y365" s="25"/>
      <c r="Z365" s="25"/>
      <c r="AA365" s="25"/>
      <c r="AB365" s="25"/>
      <c r="AC365" s="25"/>
    </row>
    <row r="366" spans="1:29" x14ac:dyDescent="0.45">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816</v>
      </c>
      <c r="X366" s="17"/>
      <c r="Y366" s="25"/>
      <c r="Z366" s="25"/>
      <c r="AA366" s="25"/>
      <c r="AB366" s="25"/>
      <c r="AC366" s="25"/>
    </row>
    <row r="367" spans="1:29" x14ac:dyDescent="0.45">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817</v>
      </c>
      <c r="X367" s="17"/>
      <c r="Y367" s="25"/>
      <c r="Z367" s="25"/>
      <c r="AA367" s="25"/>
      <c r="AB367" s="25"/>
      <c r="AC367" s="25"/>
    </row>
    <row r="368" spans="1:29" x14ac:dyDescent="0.45">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818</v>
      </c>
      <c r="X368" s="17"/>
      <c r="Y368" s="25"/>
      <c r="Z368" s="25"/>
      <c r="AA368" s="25"/>
      <c r="AB368" s="25"/>
      <c r="AC368" s="25"/>
    </row>
    <row r="369" spans="1:29" x14ac:dyDescent="0.45">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819</v>
      </c>
      <c r="X369" s="17"/>
      <c r="Y369" s="25"/>
      <c r="Z369" s="25"/>
      <c r="AA369" s="25"/>
      <c r="AB369" s="25"/>
      <c r="AC369" s="25"/>
    </row>
    <row r="370" spans="1:29" x14ac:dyDescent="0.45">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820</v>
      </c>
      <c r="X370" s="17"/>
      <c r="Y370" s="25"/>
      <c r="Z370" s="25"/>
      <c r="AA370" s="25"/>
      <c r="AB370" s="25"/>
      <c r="AC370" s="25"/>
    </row>
    <row r="371" spans="1:29" x14ac:dyDescent="0.45">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821</v>
      </c>
      <c r="X371" s="17"/>
      <c r="Y371" s="25"/>
      <c r="Z371" s="25"/>
      <c r="AA371" s="25"/>
      <c r="AB371" s="25"/>
      <c r="AC371" s="25"/>
    </row>
    <row r="372" spans="1:29" x14ac:dyDescent="0.45">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822</v>
      </c>
      <c r="X372" s="17"/>
      <c r="Y372" s="25"/>
      <c r="Z372" s="25"/>
      <c r="AA372" s="25"/>
      <c r="AB372" s="25"/>
      <c r="AC372" s="25"/>
    </row>
    <row r="373" spans="1:29" x14ac:dyDescent="0.45">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823</v>
      </c>
      <c r="X373" s="17"/>
      <c r="Y373" s="25"/>
      <c r="Z373" s="25"/>
      <c r="AA373" s="25"/>
      <c r="AB373" s="25"/>
      <c r="AC373" s="25"/>
    </row>
    <row r="374" spans="1:29" x14ac:dyDescent="0.45">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824</v>
      </c>
      <c r="X374" s="17"/>
      <c r="Y374" s="25"/>
      <c r="Z374" s="25"/>
      <c r="AA374" s="25"/>
      <c r="AB374" s="25"/>
      <c r="AC374" s="25"/>
    </row>
    <row r="375" spans="1:29" x14ac:dyDescent="0.45">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825</v>
      </c>
      <c r="X375" s="17"/>
      <c r="Y375" s="25"/>
      <c r="Z375" s="25"/>
      <c r="AA375" s="25"/>
      <c r="AB375" s="25"/>
      <c r="AC375" s="25"/>
    </row>
    <row r="376" spans="1:29" x14ac:dyDescent="0.45">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826</v>
      </c>
      <c r="X376" s="17"/>
      <c r="Y376" s="25"/>
      <c r="Z376" s="25"/>
      <c r="AA376" s="25"/>
      <c r="AB376" s="25"/>
      <c r="AC376" s="25"/>
    </row>
    <row r="377" spans="1:29" x14ac:dyDescent="0.45">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827</v>
      </c>
      <c r="X377" s="17"/>
      <c r="Y377" s="25"/>
      <c r="Z377" s="25"/>
      <c r="AA377" s="25"/>
      <c r="AB377" s="25"/>
      <c r="AC377" s="25"/>
    </row>
    <row r="378" spans="1:29" x14ac:dyDescent="0.45">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828</v>
      </c>
      <c r="X378" s="17"/>
      <c r="Y378" s="25"/>
      <c r="Z378" s="25"/>
      <c r="AA378" s="25"/>
      <c r="AB378" s="25"/>
      <c r="AC378" s="25"/>
    </row>
    <row r="379" spans="1:29" x14ac:dyDescent="0.45">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829</v>
      </c>
      <c r="X379" s="17"/>
      <c r="Y379" s="25"/>
      <c r="Z379" s="25"/>
      <c r="AA379" s="25"/>
      <c r="AB379" s="25"/>
      <c r="AC379" s="25"/>
    </row>
    <row r="380" spans="1:29" x14ac:dyDescent="0.45">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830</v>
      </c>
      <c r="X380" s="17"/>
      <c r="Y380" s="25"/>
      <c r="Z380" s="25"/>
      <c r="AA380" s="25"/>
      <c r="AB380" s="25"/>
      <c r="AC380" s="25"/>
    </row>
    <row r="381" spans="1:29" x14ac:dyDescent="0.45">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831</v>
      </c>
      <c r="X381" s="17"/>
      <c r="Y381" s="25"/>
      <c r="Z381" s="25"/>
      <c r="AA381" s="25"/>
      <c r="AB381" s="25"/>
      <c r="AC381" s="25"/>
    </row>
    <row r="382" spans="1:29" x14ac:dyDescent="0.45">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832</v>
      </c>
      <c r="X382" s="17"/>
      <c r="Y382" s="25"/>
      <c r="Z382" s="25"/>
      <c r="AA382" s="25"/>
      <c r="AB382" s="25"/>
      <c r="AC382" s="25"/>
    </row>
    <row r="383" spans="1:29" x14ac:dyDescent="0.45">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833</v>
      </c>
      <c r="X383" s="17"/>
      <c r="Y383" s="25"/>
      <c r="Z383" s="25"/>
      <c r="AA383" s="25"/>
      <c r="AB383" s="25"/>
      <c r="AC383" s="25"/>
    </row>
    <row r="384" spans="1:29" x14ac:dyDescent="0.45">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834</v>
      </c>
      <c r="X384" s="17"/>
      <c r="Y384" s="25"/>
      <c r="Z384" s="25"/>
      <c r="AA384" s="25"/>
      <c r="AB384" s="25"/>
      <c r="AC384" s="25"/>
    </row>
    <row r="385" spans="1:29" x14ac:dyDescent="0.45">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835</v>
      </c>
      <c r="X385" s="17"/>
      <c r="Y385" s="25"/>
      <c r="Z385" s="25"/>
      <c r="AA385" s="25"/>
      <c r="AB385" s="25"/>
      <c r="AC385" s="25"/>
    </row>
    <row r="386" spans="1:29" x14ac:dyDescent="0.45">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836</v>
      </c>
      <c r="X386" s="17"/>
      <c r="Y386" s="25"/>
      <c r="Z386" s="25"/>
      <c r="AA386" s="25"/>
      <c r="AB386" s="25"/>
      <c r="AC386" s="25"/>
    </row>
    <row r="387" spans="1:29" x14ac:dyDescent="0.45">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837</v>
      </c>
      <c r="X387" s="17"/>
      <c r="Y387" s="25"/>
      <c r="Z387" s="25"/>
      <c r="AA387" s="25"/>
      <c r="AB387" s="25"/>
      <c r="AC387" s="25"/>
    </row>
    <row r="388" spans="1:29" x14ac:dyDescent="0.45">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838</v>
      </c>
      <c r="X388" s="17"/>
      <c r="Y388" s="25"/>
      <c r="Z388" s="25"/>
      <c r="AA388" s="25"/>
      <c r="AB388" s="25"/>
      <c r="AC388" s="25"/>
    </row>
    <row r="389" spans="1:29" x14ac:dyDescent="0.45">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839</v>
      </c>
      <c r="X389" s="17"/>
      <c r="Y389" s="25"/>
      <c r="Z389" s="25"/>
      <c r="AA389" s="25"/>
      <c r="AB389" s="25"/>
      <c r="AC389" s="25"/>
    </row>
    <row r="390" spans="1:29" x14ac:dyDescent="0.45">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840</v>
      </c>
      <c r="X390" s="17"/>
      <c r="Y390" s="25"/>
      <c r="Z390" s="25"/>
      <c r="AA390" s="25"/>
      <c r="AB390" s="25"/>
      <c r="AC390" s="25"/>
    </row>
    <row r="391" spans="1:29" x14ac:dyDescent="0.45">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841</v>
      </c>
      <c r="X391" s="17"/>
      <c r="Y391" s="25"/>
      <c r="Z391" s="25"/>
      <c r="AA391" s="25"/>
      <c r="AB391" s="25"/>
      <c r="AC391" s="25"/>
    </row>
    <row r="392" spans="1:29" x14ac:dyDescent="0.45">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842</v>
      </c>
      <c r="X392" s="17"/>
      <c r="Y392" s="25"/>
      <c r="Z392" s="25"/>
      <c r="AA392" s="25"/>
      <c r="AB392" s="25"/>
      <c r="AC392" s="25"/>
    </row>
    <row r="393" spans="1:29" x14ac:dyDescent="0.45">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843</v>
      </c>
      <c r="X393" s="17"/>
      <c r="Y393" s="25"/>
      <c r="Z393" s="25"/>
      <c r="AA393" s="25"/>
      <c r="AB393" s="25"/>
      <c r="AC393" s="25"/>
    </row>
    <row r="394" spans="1:29" x14ac:dyDescent="0.45">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844</v>
      </c>
      <c r="X394" s="17"/>
      <c r="Y394" s="25"/>
      <c r="Z394" s="25"/>
      <c r="AA394" s="25"/>
      <c r="AB394" s="25"/>
      <c r="AC394" s="25"/>
    </row>
    <row r="395" spans="1:29" x14ac:dyDescent="0.45">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845</v>
      </c>
      <c r="X395" s="17"/>
      <c r="Y395" s="25"/>
      <c r="Z395" s="25"/>
      <c r="AA395" s="25"/>
      <c r="AB395" s="25"/>
      <c r="AC395" s="25"/>
    </row>
    <row r="396" spans="1:29" x14ac:dyDescent="0.45">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846</v>
      </c>
      <c r="X396" s="17"/>
      <c r="Y396" s="25"/>
      <c r="Z396" s="25"/>
      <c r="AA396" s="25"/>
      <c r="AB396" s="25"/>
      <c r="AC396" s="25"/>
    </row>
    <row r="397" spans="1:29" x14ac:dyDescent="0.45">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847</v>
      </c>
      <c r="X397" s="17"/>
      <c r="Y397" s="25"/>
      <c r="Z397" s="25"/>
      <c r="AA397" s="25"/>
      <c r="AB397" s="25"/>
      <c r="AC397" s="25"/>
    </row>
    <row r="398" spans="1:29" x14ac:dyDescent="0.45">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848</v>
      </c>
      <c r="X398" s="17"/>
      <c r="Y398" s="25"/>
      <c r="Z398" s="25"/>
      <c r="AA398" s="25"/>
      <c r="AB398" s="25"/>
      <c r="AC398" s="25"/>
    </row>
    <row r="399" spans="1:29" x14ac:dyDescent="0.45">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849</v>
      </c>
      <c r="X399" s="17"/>
      <c r="Y399" s="25"/>
      <c r="Z399" s="25"/>
      <c r="AA399" s="25"/>
      <c r="AB399" s="25"/>
      <c r="AC399" s="25"/>
    </row>
    <row r="400" spans="1:29" x14ac:dyDescent="0.45">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850</v>
      </c>
      <c r="X400" s="17"/>
      <c r="Y400" s="25"/>
      <c r="Z400" s="25"/>
      <c r="AA400" s="25"/>
      <c r="AB400" s="25"/>
      <c r="AC400" s="25"/>
    </row>
    <row r="401" spans="1:29" x14ac:dyDescent="0.45">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851</v>
      </c>
      <c r="X401" s="17"/>
      <c r="Y401" s="25"/>
      <c r="Z401" s="25"/>
      <c r="AA401" s="25"/>
      <c r="AB401" s="25"/>
      <c r="AC401" s="25"/>
    </row>
    <row r="402" spans="1:29" x14ac:dyDescent="0.45">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852</v>
      </c>
      <c r="X402" s="17"/>
      <c r="Y402" s="25"/>
      <c r="Z402" s="25"/>
      <c r="AA402" s="25"/>
      <c r="AB402" s="25"/>
      <c r="AC402" s="25"/>
    </row>
    <row r="403" spans="1:29" x14ac:dyDescent="0.45">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853</v>
      </c>
      <c r="X403" s="17"/>
      <c r="Y403" s="25"/>
      <c r="Z403" s="25"/>
      <c r="AA403" s="25"/>
      <c r="AB403" s="25"/>
      <c r="AC403" s="25"/>
    </row>
    <row r="404" spans="1:29" x14ac:dyDescent="0.45">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854</v>
      </c>
      <c r="X404" s="17"/>
      <c r="Y404" s="25"/>
      <c r="Z404" s="25"/>
      <c r="AA404" s="25"/>
      <c r="AB404" s="25"/>
      <c r="AC404" s="25"/>
    </row>
    <row r="405" spans="1:29" x14ac:dyDescent="0.45">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855</v>
      </c>
      <c r="X405" s="17"/>
      <c r="Y405" s="25"/>
      <c r="Z405" s="25"/>
      <c r="AA405" s="25"/>
      <c r="AB405" s="25"/>
      <c r="AC405" s="25"/>
    </row>
    <row r="406" spans="1:29" x14ac:dyDescent="0.45">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856</v>
      </c>
      <c r="X406" s="17"/>
      <c r="Y406" s="25"/>
      <c r="Z406" s="25"/>
      <c r="AA406" s="25"/>
      <c r="AB406" s="25"/>
      <c r="AC406" s="25"/>
    </row>
    <row r="407" spans="1:29" x14ac:dyDescent="0.45">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857</v>
      </c>
      <c r="X407" s="17"/>
      <c r="Y407" s="25"/>
      <c r="Z407" s="25"/>
      <c r="AA407" s="25"/>
      <c r="AB407" s="25"/>
      <c r="AC407" s="25"/>
    </row>
    <row r="408" spans="1:29" x14ac:dyDescent="0.45">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858</v>
      </c>
      <c r="X408" s="17"/>
      <c r="Y408" s="25"/>
      <c r="Z408" s="25"/>
      <c r="AA408" s="25"/>
      <c r="AB408" s="25"/>
      <c r="AC408" s="25"/>
    </row>
    <row r="409" spans="1:29" x14ac:dyDescent="0.45">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859</v>
      </c>
      <c r="X409" s="17"/>
      <c r="Y409" s="25"/>
      <c r="Z409" s="25"/>
      <c r="AA409" s="25"/>
      <c r="AB409" s="25"/>
      <c r="AC409" s="25"/>
    </row>
    <row r="410" spans="1:29" x14ac:dyDescent="0.45">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860</v>
      </c>
      <c r="X410" s="17"/>
      <c r="Y410" s="25"/>
      <c r="Z410" s="25"/>
      <c r="AA410" s="25"/>
      <c r="AB410" s="25"/>
      <c r="AC410" s="25"/>
    </row>
    <row r="411" spans="1:29" x14ac:dyDescent="0.45">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861</v>
      </c>
      <c r="X411" s="17"/>
      <c r="Y411" s="25"/>
      <c r="Z411" s="25"/>
      <c r="AA411" s="25"/>
      <c r="AB411" s="25"/>
      <c r="AC411" s="25"/>
    </row>
    <row r="412" spans="1:29" x14ac:dyDescent="0.45">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862</v>
      </c>
      <c r="X412" s="17"/>
      <c r="Y412" s="25"/>
      <c r="Z412" s="25"/>
      <c r="AA412" s="25"/>
      <c r="AB412" s="25"/>
      <c r="AC412" s="25"/>
    </row>
    <row r="413" spans="1:29" x14ac:dyDescent="0.4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4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4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4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B1" sqref="B1"/>
    </sheetView>
  </sheetViews>
  <sheetFormatPr defaultColWidth="9.1328125" defaultRowHeight="14.25" x14ac:dyDescent="0.45"/>
  <cols>
    <col min="1" max="2" width="9.1328125" style="25"/>
    <col min="3" max="3" width="34.1328125" style="25" customWidth="1"/>
    <col min="4" max="4" width="45.3984375" style="25" customWidth="1"/>
    <col min="5" max="5" width="38.73046875" style="25" customWidth="1"/>
    <col min="6" max="16384" width="9.1328125" style="25"/>
  </cols>
  <sheetData>
    <row r="2" spans="3:5" ht="14.65" thickBot="1" x14ac:dyDescent="0.5"/>
    <row r="3" spans="3:5" x14ac:dyDescent="0.45">
      <c r="C3" s="1054" t="s">
        <v>1020</v>
      </c>
      <c r="D3" s="748"/>
      <c r="E3" s="749"/>
    </row>
    <row r="4" spans="3:5" x14ac:dyDescent="0.45">
      <c r="C4" s="91" t="s">
        <v>1019</v>
      </c>
      <c r="D4" s="49" t="s">
        <v>1021</v>
      </c>
      <c r="E4" s="92" t="s">
        <v>1022</v>
      </c>
    </row>
    <row r="5" spans="3:5" x14ac:dyDescent="0.45">
      <c r="C5" s="226" t="s">
        <v>1018</v>
      </c>
      <c r="D5" s="7" t="s">
        <v>1023</v>
      </c>
      <c r="E5" s="233" t="s">
        <v>1024</v>
      </c>
    </row>
    <row r="6" spans="3:5" ht="28.5" x14ac:dyDescent="0.45">
      <c r="C6" s="226" t="s">
        <v>1025</v>
      </c>
      <c r="D6" s="9" t="s">
        <v>1040</v>
      </c>
      <c r="E6" s="233" t="s">
        <v>1026</v>
      </c>
    </row>
    <row r="7" spans="3:5" ht="28.5" x14ac:dyDescent="0.45">
      <c r="C7" s="226" t="s">
        <v>1027</v>
      </c>
      <c r="D7" s="9" t="s">
        <v>1028</v>
      </c>
      <c r="E7" s="233" t="s">
        <v>1029</v>
      </c>
    </row>
    <row r="8" spans="3:5" ht="85.9" thickBot="1" x14ac:dyDescent="0.5">
      <c r="C8" s="228" t="s">
        <v>1030</v>
      </c>
      <c r="D8" s="242" t="s">
        <v>1041</v>
      </c>
      <c r="E8" s="565" t="s">
        <v>1043</v>
      </c>
    </row>
    <row r="9" spans="3:5" ht="28.9" thickBot="1" x14ac:dyDescent="0.5">
      <c r="C9" s="228" t="s">
        <v>1044</v>
      </c>
      <c r="D9" s="242" t="s">
        <v>1045</v>
      </c>
      <c r="E9" s="565" t="s">
        <v>1047</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25" zeroHeight="1" x14ac:dyDescent="0.45"/>
  <cols>
    <col min="1" max="1" width="3.265625" customWidth="1"/>
    <col min="2" max="2" width="24.3984375" bestFit="1" customWidth="1"/>
    <col min="3" max="3" width="34.1328125" bestFit="1" customWidth="1"/>
    <col min="4" max="4" width="41.86328125" bestFit="1" customWidth="1"/>
    <col min="5" max="5" width="50.1328125" customWidth="1"/>
    <col min="6" max="6" width="20.3984375" customWidth="1"/>
    <col min="7" max="8" width="8.86328125" customWidth="1"/>
    <col min="9" max="16384" width="8.86328125" hidden="1"/>
  </cols>
  <sheetData>
    <row r="1" spans="1:8" ht="14.65" thickBot="1" x14ac:dyDescent="0.5">
      <c r="A1" s="60"/>
      <c r="B1" s="60"/>
      <c r="C1" s="60"/>
      <c r="D1" s="60"/>
      <c r="E1" s="60"/>
      <c r="F1" s="60"/>
      <c r="G1" s="60"/>
      <c r="H1" s="60"/>
    </row>
    <row r="2" spans="1:8" ht="19.149999999999999" customHeight="1" thickBot="1" x14ac:dyDescent="0.5">
      <c r="A2" s="25"/>
      <c r="B2" s="252" t="s">
        <v>863</v>
      </c>
      <c r="C2" s="253" t="s">
        <v>864</v>
      </c>
      <c r="D2" s="253" t="s">
        <v>865</v>
      </c>
      <c r="E2" s="254" t="s">
        <v>866</v>
      </c>
      <c r="F2" s="255" t="s">
        <v>85</v>
      </c>
      <c r="G2" s="60"/>
      <c r="H2" s="60"/>
    </row>
    <row r="3" spans="1:8" ht="21.75" customHeight="1" thickBot="1" x14ac:dyDescent="0.5">
      <c r="A3" s="25"/>
      <c r="B3" s="248" t="s">
        <v>867</v>
      </c>
      <c r="C3" s="256" t="s">
        <v>868</v>
      </c>
      <c r="D3" s="256" t="s">
        <v>869</v>
      </c>
      <c r="E3" s="249" t="s">
        <v>870</v>
      </c>
      <c r="F3" s="250" t="s">
        <v>205</v>
      </c>
      <c r="G3" s="25"/>
      <c r="H3" s="25"/>
    </row>
    <row r="4" spans="1:8" x14ac:dyDescent="0.45">
      <c r="A4" s="25"/>
      <c r="B4" s="1055" t="s">
        <v>202</v>
      </c>
      <c r="C4" s="1058" t="s">
        <v>202</v>
      </c>
      <c r="D4" s="257" t="s">
        <v>871</v>
      </c>
      <c r="E4" s="239" t="s">
        <v>301</v>
      </c>
      <c r="F4" s="240" t="s">
        <v>203</v>
      </c>
      <c r="G4" s="25"/>
      <c r="H4" s="25"/>
    </row>
    <row r="5" spans="1:8" x14ac:dyDescent="0.45">
      <c r="A5" s="25"/>
      <c r="B5" s="1056"/>
      <c r="C5" s="1059"/>
      <c r="D5" s="7" t="s">
        <v>872</v>
      </c>
      <c r="E5" s="9" t="s">
        <v>873</v>
      </c>
      <c r="F5" s="241" t="s">
        <v>203</v>
      </c>
      <c r="G5" s="25"/>
      <c r="H5" s="25"/>
    </row>
    <row r="6" spans="1:8" x14ac:dyDescent="0.45">
      <c r="A6" s="25"/>
      <c r="B6" s="1056"/>
      <c r="C6" s="1059"/>
      <c r="D6" s="7" t="s">
        <v>874</v>
      </c>
      <c r="E6" s="9" t="s">
        <v>306</v>
      </c>
      <c r="F6" s="241" t="s">
        <v>203</v>
      </c>
      <c r="G6" s="25"/>
      <c r="H6" s="25"/>
    </row>
    <row r="7" spans="1:8" x14ac:dyDescent="0.45">
      <c r="A7" s="25"/>
      <c r="B7" s="1056"/>
      <c r="C7" s="1059"/>
      <c r="D7" s="7" t="s">
        <v>875</v>
      </c>
      <c r="E7" s="9" t="s">
        <v>307</v>
      </c>
      <c r="F7" s="241" t="s">
        <v>203</v>
      </c>
      <c r="G7" s="25"/>
      <c r="H7" s="25"/>
    </row>
    <row r="8" spans="1:8" x14ac:dyDescent="0.45">
      <c r="A8" s="25"/>
      <c r="B8" s="1056"/>
      <c r="C8" s="1059" t="s">
        <v>876</v>
      </c>
      <c r="D8" s="7" t="s">
        <v>877</v>
      </c>
      <c r="E8" s="9" t="s">
        <v>296</v>
      </c>
      <c r="F8" s="245" t="s">
        <v>205</v>
      </c>
      <c r="G8" s="25"/>
      <c r="H8" s="25"/>
    </row>
    <row r="9" spans="1:8" x14ac:dyDescent="0.45">
      <c r="A9" s="25"/>
      <c r="B9" s="1056"/>
      <c r="C9" s="1059"/>
      <c r="D9" s="7" t="s">
        <v>878</v>
      </c>
      <c r="E9" s="9" t="s">
        <v>298</v>
      </c>
      <c r="F9" s="245" t="s">
        <v>205</v>
      </c>
      <c r="G9" s="25"/>
      <c r="H9" s="25"/>
    </row>
    <row r="10" spans="1:8" x14ac:dyDescent="0.45">
      <c r="A10" s="25"/>
      <c r="B10" s="1056"/>
      <c r="C10" s="1059"/>
      <c r="D10" s="7" t="s">
        <v>879</v>
      </c>
      <c r="E10" s="9" t="s">
        <v>880</v>
      </c>
      <c r="F10" s="245" t="s">
        <v>205</v>
      </c>
      <c r="G10" s="25"/>
      <c r="H10" s="25"/>
    </row>
    <row r="11" spans="1:8" x14ac:dyDescent="0.45">
      <c r="A11" s="25"/>
      <c r="B11" s="1056"/>
      <c r="C11" s="1059"/>
      <c r="D11" s="7" t="s">
        <v>881</v>
      </c>
      <c r="E11" s="9" t="s">
        <v>300</v>
      </c>
      <c r="F11" s="245" t="s">
        <v>205</v>
      </c>
      <c r="G11" s="25"/>
      <c r="H11" s="25"/>
    </row>
    <row r="12" spans="1:8" x14ac:dyDescent="0.45">
      <c r="A12" s="25"/>
      <c r="B12" s="1056"/>
      <c r="C12" s="1059"/>
      <c r="D12" s="7" t="s">
        <v>882</v>
      </c>
      <c r="E12" s="9" t="s">
        <v>883</v>
      </c>
      <c r="F12" s="245" t="s">
        <v>205</v>
      </c>
      <c r="G12" s="25"/>
      <c r="H12" s="25"/>
    </row>
    <row r="13" spans="1:8" x14ac:dyDescent="0.45">
      <c r="A13" s="25"/>
      <c r="B13" s="1056"/>
      <c r="C13" s="7" t="s">
        <v>304</v>
      </c>
      <c r="D13" s="7" t="s">
        <v>884</v>
      </c>
      <c r="E13" s="9" t="s">
        <v>304</v>
      </c>
      <c r="F13" s="241" t="s">
        <v>203</v>
      </c>
      <c r="G13" s="25"/>
      <c r="H13" s="25"/>
    </row>
    <row r="14" spans="1:8" ht="14.65" thickBot="1" x14ac:dyDescent="0.5">
      <c r="A14" s="25"/>
      <c r="B14" s="1057"/>
      <c r="C14" s="229" t="s">
        <v>885</v>
      </c>
      <c r="D14" s="229" t="s">
        <v>886</v>
      </c>
      <c r="E14" s="242" t="s">
        <v>305</v>
      </c>
      <c r="F14" s="243" t="s">
        <v>203</v>
      </c>
      <c r="G14" s="25"/>
      <c r="H14" s="25"/>
    </row>
    <row r="15" spans="1:8" x14ac:dyDescent="0.45">
      <c r="A15" s="25"/>
      <c r="B15" s="1055" t="s">
        <v>887</v>
      </c>
      <c r="C15" s="257" t="s">
        <v>888</v>
      </c>
      <c r="D15" s="257" t="s">
        <v>889</v>
      </c>
      <c r="E15" s="239" t="s">
        <v>309</v>
      </c>
      <c r="F15" s="240" t="s">
        <v>203</v>
      </c>
      <c r="G15" s="25"/>
      <c r="H15" s="25"/>
    </row>
    <row r="16" spans="1:8" x14ac:dyDescent="0.45">
      <c r="A16" s="25"/>
      <c r="B16" s="1056"/>
      <c r="C16" s="7" t="s">
        <v>308</v>
      </c>
      <c r="D16" s="7" t="s">
        <v>890</v>
      </c>
      <c r="E16" s="9" t="s">
        <v>308</v>
      </c>
      <c r="F16" s="241" t="s">
        <v>203</v>
      </c>
      <c r="G16" s="25"/>
      <c r="H16" s="25"/>
    </row>
    <row r="17" spans="1:8" x14ac:dyDescent="0.45">
      <c r="A17" s="25"/>
      <c r="B17" s="1056"/>
      <c r="C17" s="1059" t="s">
        <v>891</v>
      </c>
      <c r="D17" s="7" t="s">
        <v>892</v>
      </c>
      <c r="E17" s="9" t="s">
        <v>310</v>
      </c>
      <c r="F17" s="245" t="s">
        <v>205</v>
      </c>
      <c r="G17" s="25"/>
      <c r="H17" s="25"/>
    </row>
    <row r="18" spans="1:8" x14ac:dyDescent="0.45">
      <c r="A18" s="25"/>
      <c r="B18" s="1056"/>
      <c r="C18" s="1059"/>
      <c r="D18" s="7" t="s">
        <v>893</v>
      </c>
      <c r="E18" s="9" t="s">
        <v>311</v>
      </c>
      <c r="F18" s="245" t="s">
        <v>205</v>
      </c>
      <c r="G18" s="25"/>
      <c r="H18" s="25"/>
    </row>
    <row r="19" spans="1:8" ht="14.65" thickBot="1" x14ac:dyDescent="0.5">
      <c r="A19" s="25"/>
      <c r="B19" s="1057"/>
      <c r="C19" s="1060"/>
      <c r="D19" s="229" t="s">
        <v>894</v>
      </c>
      <c r="E19" s="242" t="s">
        <v>312</v>
      </c>
      <c r="F19" s="246" t="s">
        <v>205</v>
      </c>
      <c r="G19" s="25"/>
      <c r="H19" s="25"/>
    </row>
    <row r="20" spans="1:8" x14ac:dyDescent="0.45">
      <c r="A20" s="25"/>
      <c r="B20" s="1055" t="s">
        <v>207</v>
      </c>
      <c r="C20" s="257" t="s">
        <v>895</v>
      </c>
      <c r="D20" s="257" t="s">
        <v>896</v>
      </c>
      <c r="E20" s="239" t="s">
        <v>319</v>
      </c>
      <c r="F20" s="240" t="s">
        <v>203</v>
      </c>
      <c r="G20" s="25"/>
      <c r="H20" s="25"/>
    </row>
    <row r="21" spans="1:8" x14ac:dyDescent="0.45">
      <c r="A21" s="25"/>
      <c r="B21" s="1056"/>
      <c r="C21" s="1059" t="s">
        <v>897</v>
      </c>
      <c r="D21" s="7" t="s">
        <v>898</v>
      </c>
      <c r="E21" s="9" t="s">
        <v>313</v>
      </c>
      <c r="F21" s="245" t="s">
        <v>205</v>
      </c>
      <c r="G21" s="25"/>
      <c r="H21" s="25"/>
    </row>
    <row r="22" spans="1:8" x14ac:dyDescent="0.45">
      <c r="A22" s="25"/>
      <c r="B22" s="1056"/>
      <c r="C22" s="1059"/>
      <c r="D22" s="7" t="s">
        <v>899</v>
      </c>
      <c r="E22" s="9" t="s">
        <v>314</v>
      </c>
      <c r="F22" s="245" t="s">
        <v>205</v>
      </c>
      <c r="G22" s="25"/>
      <c r="H22" s="25"/>
    </row>
    <row r="23" spans="1:8" x14ac:dyDescent="0.45">
      <c r="A23" s="25"/>
      <c r="B23" s="1056"/>
      <c r="C23" s="1059"/>
      <c r="D23" s="7" t="s">
        <v>900</v>
      </c>
      <c r="E23" s="9" t="s">
        <v>315</v>
      </c>
      <c r="F23" s="245" t="s">
        <v>205</v>
      </c>
      <c r="G23" s="25"/>
      <c r="H23" s="25"/>
    </row>
    <row r="24" spans="1:8" x14ac:dyDescent="0.45">
      <c r="A24" s="25"/>
      <c r="B24" s="1056"/>
      <c r="C24" s="1059"/>
      <c r="D24" s="7" t="s">
        <v>901</v>
      </c>
      <c r="E24" s="9" t="s">
        <v>316</v>
      </c>
      <c r="F24" s="245" t="s">
        <v>205</v>
      </c>
      <c r="G24" s="25"/>
      <c r="H24" s="25"/>
    </row>
    <row r="25" spans="1:8" x14ac:dyDescent="0.45">
      <c r="A25" s="25"/>
      <c r="B25" s="1056"/>
      <c r="C25" s="1059"/>
      <c r="D25" s="7" t="s">
        <v>902</v>
      </c>
      <c r="E25" s="9" t="s">
        <v>317</v>
      </c>
      <c r="F25" s="245" t="s">
        <v>205</v>
      </c>
      <c r="G25" s="25"/>
      <c r="H25" s="25"/>
    </row>
    <row r="26" spans="1:8" x14ac:dyDescent="0.45">
      <c r="A26" s="25"/>
      <c r="B26" s="1056"/>
      <c r="C26" s="1059"/>
      <c r="D26" s="7" t="s">
        <v>903</v>
      </c>
      <c r="E26" s="9" t="s">
        <v>318</v>
      </c>
      <c r="F26" s="245" t="s">
        <v>205</v>
      </c>
      <c r="G26" s="25"/>
      <c r="H26" s="25"/>
    </row>
    <row r="27" spans="1:8" ht="14.65" thickBot="1" x14ac:dyDescent="0.5">
      <c r="A27" s="25"/>
      <c r="B27" s="1057"/>
      <c r="C27" s="1060"/>
      <c r="D27" s="229" t="s">
        <v>904</v>
      </c>
      <c r="E27" s="242" t="s">
        <v>905</v>
      </c>
      <c r="F27" s="246" t="s">
        <v>205</v>
      </c>
      <c r="G27" s="25"/>
      <c r="H27" s="25"/>
    </row>
    <row r="28" spans="1:8" x14ac:dyDescent="0.45">
      <c r="A28" s="25"/>
      <c r="B28" s="1055" t="s">
        <v>906</v>
      </c>
      <c r="C28" s="1058" t="s">
        <v>907</v>
      </c>
      <c r="D28" s="257" t="s">
        <v>908</v>
      </c>
      <c r="E28" s="239" t="s">
        <v>909</v>
      </c>
      <c r="F28" s="240" t="s">
        <v>203</v>
      </c>
      <c r="G28" s="25"/>
      <c r="H28" s="25"/>
    </row>
    <row r="29" spans="1:8" x14ac:dyDescent="0.45">
      <c r="A29" s="25"/>
      <c r="B29" s="1056"/>
      <c r="C29" s="1059"/>
      <c r="D29" s="7" t="s">
        <v>910</v>
      </c>
      <c r="E29" s="9" t="s">
        <v>911</v>
      </c>
      <c r="F29" s="245" t="s">
        <v>205</v>
      </c>
      <c r="G29" s="25"/>
      <c r="H29" s="25"/>
    </row>
    <row r="30" spans="1:8" x14ac:dyDescent="0.45">
      <c r="A30" s="25"/>
      <c r="B30" s="1056"/>
      <c r="C30" s="1059"/>
      <c r="D30" s="7" t="s">
        <v>912</v>
      </c>
      <c r="E30" s="9" t="s">
        <v>913</v>
      </c>
      <c r="F30" s="245" t="s">
        <v>205</v>
      </c>
      <c r="G30" s="25"/>
      <c r="H30" s="25"/>
    </row>
    <row r="31" spans="1:8" x14ac:dyDescent="0.45">
      <c r="A31" s="25"/>
      <c r="B31" s="1056"/>
      <c r="C31" s="1059" t="s">
        <v>914</v>
      </c>
      <c r="D31" s="7" t="s">
        <v>915</v>
      </c>
      <c r="E31" s="9" t="s">
        <v>916</v>
      </c>
      <c r="F31" s="241" t="s">
        <v>203</v>
      </c>
      <c r="G31" s="25"/>
      <c r="H31" s="25"/>
    </row>
    <row r="32" spans="1:8" x14ac:dyDescent="0.45">
      <c r="A32" s="25"/>
      <c r="B32" s="1056"/>
      <c r="C32" s="1059"/>
      <c r="D32" s="7" t="s">
        <v>917</v>
      </c>
      <c r="E32" s="9" t="s">
        <v>918</v>
      </c>
      <c r="F32" s="245" t="s">
        <v>205</v>
      </c>
      <c r="G32" s="25"/>
      <c r="H32" s="25"/>
    </row>
    <row r="33" spans="1:8" x14ac:dyDescent="0.45">
      <c r="A33" s="25"/>
      <c r="B33" s="1056"/>
      <c r="C33" s="1059"/>
      <c r="D33" s="7" t="s">
        <v>919</v>
      </c>
      <c r="E33" s="9" t="s">
        <v>920</v>
      </c>
      <c r="F33" s="245" t="s">
        <v>205</v>
      </c>
      <c r="G33" s="25"/>
      <c r="H33" s="25"/>
    </row>
    <row r="34" spans="1:8" x14ac:dyDescent="0.45">
      <c r="A34" s="25"/>
      <c r="B34" s="1056"/>
      <c r="C34" s="7" t="s">
        <v>921</v>
      </c>
      <c r="D34" s="7" t="s">
        <v>922</v>
      </c>
      <c r="E34" s="9" t="s">
        <v>923</v>
      </c>
      <c r="F34" s="247" t="s">
        <v>331</v>
      </c>
      <c r="G34" s="25"/>
      <c r="H34" s="25"/>
    </row>
    <row r="35" spans="1:8" x14ac:dyDescent="0.45">
      <c r="A35" s="25"/>
      <c r="B35" s="1056"/>
      <c r="C35" s="1059" t="s">
        <v>924</v>
      </c>
      <c r="D35" s="7" t="s">
        <v>925</v>
      </c>
      <c r="E35" s="9" t="s">
        <v>926</v>
      </c>
      <c r="F35" s="241" t="s">
        <v>203</v>
      </c>
      <c r="G35" s="25"/>
      <c r="H35" s="25"/>
    </row>
    <row r="36" spans="1:8" x14ac:dyDescent="0.45">
      <c r="A36" s="25"/>
      <c r="B36" s="1056"/>
      <c r="C36" s="1059"/>
      <c r="D36" s="7" t="s">
        <v>927</v>
      </c>
      <c r="E36" s="9" t="s">
        <v>928</v>
      </c>
      <c r="F36" s="241" t="s">
        <v>203</v>
      </c>
      <c r="G36" s="25"/>
      <c r="H36" s="25"/>
    </row>
    <row r="37" spans="1:8" x14ac:dyDescent="0.45">
      <c r="A37" s="25"/>
      <c r="B37" s="1056"/>
      <c r="C37" s="1059"/>
      <c r="D37" s="7" t="s">
        <v>929</v>
      </c>
      <c r="E37" s="9" t="s">
        <v>930</v>
      </c>
      <c r="F37" s="245" t="s">
        <v>205</v>
      </c>
      <c r="G37" s="25"/>
      <c r="H37" s="25"/>
    </row>
    <row r="38" spans="1:8" ht="14.65" thickBot="1" x14ac:dyDescent="0.5">
      <c r="A38" s="25"/>
      <c r="B38" s="1057"/>
      <c r="C38" s="1060"/>
      <c r="D38" s="229" t="s">
        <v>931</v>
      </c>
      <c r="E38" s="242" t="s">
        <v>932</v>
      </c>
      <c r="F38" s="246" t="s">
        <v>205</v>
      </c>
      <c r="G38" s="25"/>
      <c r="H38" s="25"/>
    </row>
    <row r="39" spans="1:8" x14ac:dyDescent="0.45">
      <c r="A39" s="25"/>
      <c r="B39" s="1061" t="s">
        <v>933</v>
      </c>
      <c r="C39" s="257" t="s">
        <v>934</v>
      </c>
      <c r="D39" s="257" t="s">
        <v>935</v>
      </c>
      <c r="E39" s="239" t="s">
        <v>366</v>
      </c>
      <c r="F39" s="240" t="s">
        <v>936</v>
      </c>
      <c r="G39" s="25"/>
      <c r="H39" s="25"/>
    </row>
    <row r="40" spans="1:8" x14ac:dyDescent="0.45">
      <c r="A40" s="25"/>
      <c r="B40" s="1062"/>
      <c r="C40" s="7" t="s">
        <v>934</v>
      </c>
      <c r="D40" s="7" t="s">
        <v>937</v>
      </c>
      <c r="E40" s="9" t="s">
        <v>365</v>
      </c>
      <c r="F40" s="241" t="s">
        <v>936</v>
      </c>
      <c r="G40" s="25"/>
      <c r="H40" s="25"/>
    </row>
    <row r="41" spans="1:8" ht="28.9" thickBot="1" x14ac:dyDescent="0.5">
      <c r="A41" s="25"/>
      <c r="B41" s="1063"/>
      <c r="C41" s="229" t="s">
        <v>934</v>
      </c>
      <c r="D41" s="229" t="s">
        <v>938</v>
      </c>
      <c r="E41" s="242" t="s">
        <v>939</v>
      </c>
      <c r="F41" s="246" t="s">
        <v>205</v>
      </c>
      <c r="G41" s="25"/>
      <c r="H41" s="25"/>
    </row>
    <row r="42" spans="1:8" x14ac:dyDescent="0.45">
      <c r="A42" s="25"/>
      <c r="B42" s="1055" t="s">
        <v>209</v>
      </c>
      <c r="C42" s="257" t="s">
        <v>934</v>
      </c>
      <c r="D42" s="257" t="s">
        <v>940</v>
      </c>
      <c r="E42" s="239" t="s">
        <v>363</v>
      </c>
      <c r="F42" s="240" t="s">
        <v>936</v>
      </c>
      <c r="G42" s="25"/>
      <c r="H42" s="25"/>
    </row>
    <row r="43" spans="1:8" x14ac:dyDescent="0.45">
      <c r="A43" s="25"/>
      <c r="B43" s="1056"/>
      <c r="C43" s="7" t="s">
        <v>934</v>
      </c>
      <c r="D43" s="7" t="s">
        <v>941</v>
      </c>
      <c r="E43" s="9" t="s">
        <v>357</v>
      </c>
      <c r="F43" s="241" t="s">
        <v>936</v>
      </c>
      <c r="G43" s="25"/>
      <c r="H43" s="25"/>
    </row>
    <row r="44" spans="1:8" x14ac:dyDescent="0.45">
      <c r="A44" s="25"/>
      <c r="B44" s="1056"/>
      <c r="C44" s="7" t="s">
        <v>934</v>
      </c>
      <c r="D44" s="7" t="s">
        <v>942</v>
      </c>
      <c r="E44" s="9" t="s">
        <v>361</v>
      </c>
      <c r="F44" s="241" t="s">
        <v>936</v>
      </c>
      <c r="G44" s="25"/>
      <c r="H44" s="25"/>
    </row>
    <row r="45" spans="1:8" x14ac:dyDescent="0.45">
      <c r="A45" s="25"/>
      <c r="B45" s="1056"/>
      <c r="C45" s="7" t="s">
        <v>934</v>
      </c>
      <c r="D45" s="7" t="s">
        <v>943</v>
      </c>
      <c r="E45" s="9" t="s">
        <v>358</v>
      </c>
      <c r="F45" s="241" t="s">
        <v>203</v>
      </c>
      <c r="G45" s="25"/>
      <c r="H45" s="25"/>
    </row>
    <row r="46" spans="1:8" x14ac:dyDescent="0.45">
      <c r="A46" s="25"/>
      <c r="B46" s="1056"/>
      <c r="C46" s="7" t="s">
        <v>934</v>
      </c>
      <c r="D46" s="7" t="s">
        <v>944</v>
      </c>
      <c r="E46" s="9" t="s">
        <v>360</v>
      </c>
      <c r="F46" s="241" t="s">
        <v>936</v>
      </c>
      <c r="G46" s="25"/>
      <c r="H46" s="25"/>
    </row>
    <row r="47" spans="1:8" x14ac:dyDescent="0.45">
      <c r="A47" s="25"/>
      <c r="B47" s="1056"/>
      <c r="C47" s="7" t="s">
        <v>934</v>
      </c>
      <c r="D47" s="7" t="s">
        <v>945</v>
      </c>
      <c r="E47" s="9" t="s">
        <v>359</v>
      </c>
      <c r="F47" s="241" t="s">
        <v>203</v>
      </c>
      <c r="G47" s="25"/>
      <c r="H47" s="25"/>
    </row>
    <row r="48" spans="1:8" x14ac:dyDescent="0.45">
      <c r="A48" s="25"/>
      <c r="B48" s="1056"/>
      <c r="C48" s="7" t="s">
        <v>934</v>
      </c>
      <c r="D48" s="7" t="s">
        <v>946</v>
      </c>
      <c r="E48" s="9" t="s">
        <v>362</v>
      </c>
      <c r="F48" s="241" t="s">
        <v>936</v>
      </c>
      <c r="G48" s="25"/>
      <c r="H48" s="25"/>
    </row>
    <row r="49" spans="1:8" x14ac:dyDescent="0.45">
      <c r="A49" s="25"/>
      <c r="B49" s="1056"/>
      <c r="C49" s="7" t="s">
        <v>934</v>
      </c>
      <c r="D49" s="7" t="s">
        <v>947</v>
      </c>
      <c r="E49" s="9" t="s">
        <v>948</v>
      </c>
      <c r="F49" s="241" t="s">
        <v>203</v>
      </c>
      <c r="G49" s="25"/>
      <c r="H49" s="25"/>
    </row>
    <row r="50" spans="1:8" x14ac:dyDescent="0.45">
      <c r="A50" s="25"/>
      <c r="B50" s="1056"/>
      <c r="C50" s="7" t="s">
        <v>934</v>
      </c>
      <c r="D50" s="7" t="s">
        <v>949</v>
      </c>
      <c r="E50" s="9" t="s">
        <v>950</v>
      </c>
      <c r="F50" s="245" t="s">
        <v>205</v>
      </c>
      <c r="G50" s="25"/>
      <c r="H50" s="25"/>
    </row>
    <row r="51" spans="1:8" ht="14.65" thickBot="1" x14ac:dyDescent="0.5">
      <c r="A51" s="25"/>
      <c r="B51" s="1057"/>
      <c r="C51" s="229" t="s">
        <v>934</v>
      </c>
      <c r="D51" s="229" t="s">
        <v>951</v>
      </c>
      <c r="E51" s="242" t="s">
        <v>364</v>
      </c>
      <c r="F51" s="246" t="s">
        <v>205</v>
      </c>
      <c r="G51" s="25"/>
      <c r="H51" s="25"/>
    </row>
    <row r="52" spans="1:8" x14ac:dyDescent="0.45">
      <c r="A52" s="25"/>
      <c r="B52" s="1055" t="s">
        <v>210</v>
      </c>
      <c r="C52" s="257" t="s">
        <v>325</v>
      </c>
      <c r="D52" s="257" t="s">
        <v>952</v>
      </c>
      <c r="E52" s="239" t="s">
        <v>325</v>
      </c>
      <c r="F52" s="244" t="s">
        <v>205</v>
      </c>
      <c r="G52" s="25"/>
      <c r="H52" s="25"/>
    </row>
    <row r="53" spans="1:8" ht="14.65" thickBot="1" x14ac:dyDescent="0.5">
      <c r="A53" s="25"/>
      <c r="B53" s="1057"/>
      <c r="C53" s="229" t="s">
        <v>953</v>
      </c>
      <c r="D53" s="229" t="s">
        <v>954</v>
      </c>
      <c r="E53" s="242" t="s">
        <v>955</v>
      </c>
      <c r="F53" s="246" t="s">
        <v>205</v>
      </c>
      <c r="G53" s="25"/>
      <c r="H53" s="25"/>
    </row>
    <row r="54" spans="1:8" x14ac:dyDescent="0.45">
      <c r="A54" s="25"/>
      <c r="B54" s="1055" t="s">
        <v>956</v>
      </c>
      <c r="C54" s="257" t="s">
        <v>957</v>
      </c>
      <c r="D54" s="257" t="s">
        <v>958</v>
      </c>
      <c r="E54" s="239" t="s">
        <v>259</v>
      </c>
      <c r="F54" s="244" t="s">
        <v>205</v>
      </c>
      <c r="G54" s="25"/>
      <c r="H54" s="25"/>
    </row>
    <row r="55" spans="1:8" x14ac:dyDescent="0.45">
      <c r="A55" s="25"/>
      <c r="B55" s="1056"/>
      <c r="C55" s="7" t="s">
        <v>261</v>
      </c>
      <c r="D55" s="7" t="s">
        <v>959</v>
      </c>
      <c r="E55" s="9" t="s">
        <v>261</v>
      </c>
      <c r="F55" s="241" t="s">
        <v>203</v>
      </c>
      <c r="G55" s="25"/>
      <c r="H55" s="25"/>
    </row>
    <row r="56" spans="1:8" ht="14.65" thickBot="1" x14ac:dyDescent="0.5">
      <c r="A56" s="25"/>
      <c r="B56" s="1057"/>
      <c r="C56" s="229" t="s">
        <v>960</v>
      </c>
      <c r="D56" s="229" t="s">
        <v>961</v>
      </c>
      <c r="E56" s="242" t="s">
        <v>260</v>
      </c>
      <c r="F56" s="246" t="s">
        <v>205</v>
      </c>
      <c r="G56" s="25"/>
      <c r="H56" s="25"/>
    </row>
    <row r="57" spans="1:8" x14ac:dyDescent="0.45">
      <c r="A57" s="25"/>
      <c r="B57" s="1055" t="s">
        <v>211</v>
      </c>
      <c r="C57" s="257" t="s">
        <v>962</v>
      </c>
      <c r="D57" s="257" t="s">
        <v>963</v>
      </c>
      <c r="E57" s="239" t="s">
        <v>326</v>
      </c>
      <c r="F57" s="240" t="s">
        <v>203</v>
      </c>
      <c r="G57" s="25"/>
      <c r="H57" s="25"/>
    </row>
    <row r="58" spans="1:8" ht="14.65" thickBot="1" x14ac:dyDescent="0.5">
      <c r="A58" s="25"/>
      <c r="B58" s="1057"/>
      <c r="C58" s="229" t="s">
        <v>964</v>
      </c>
      <c r="D58" s="229" t="s">
        <v>965</v>
      </c>
      <c r="E58" s="242" t="s">
        <v>327</v>
      </c>
      <c r="F58" s="246" t="s">
        <v>205</v>
      </c>
      <c r="G58" s="25"/>
      <c r="H58" s="25"/>
    </row>
    <row r="59" spans="1:8" x14ac:dyDescent="0.45">
      <c r="A59" s="25"/>
      <c r="B59" s="1055" t="s">
        <v>212</v>
      </c>
      <c r="C59" s="257" t="s">
        <v>329</v>
      </c>
      <c r="D59" s="257" t="s">
        <v>966</v>
      </c>
      <c r="E59" s="239" t="s">
        <v>329</v>
      </c>
      <c r="F59" s="240" t="s">
        <v>203</v>
      </c>
      <c r="G59" s="25"/>
      <c r="H59" s="25"/>
    </row>
    <row r="60" spans="1:8" x14ac:dyDescent="0.45">
      <c r="A60" s="25"/>
      <c r="B60" s="1056"/>
      <c r="C60" s="7" t="s">
        <v>967</v>
      </c>
      <c r="D60" s="7" t="s">
        <v>968</v>
      </c>
      <c r="E60" s="9" t="s">
        <v>969</v>
      </c>
      <c r="F60" s="241" t="s">
        <v>203</v>
      </c>
      <c r="G60" s="25"/>
      <c r="H60" s="25"/>
    </row>
    <row r="61" spans="1:8" x14ac:dyDescent="0.45">
      <c r="A61" s="25"/>
      <c r="B61" s="1056"/>
      <c r="C61" s="7" t="s">
        <v>970</v>
      </c>
      <c r="D61" s="7" t="s">
        <v>971</v>
      </c>
      <c r="E61" s="9" t="s">
        <v>972</v>
      </c>
      <c r="F61" s="245" t="s">
        <v>205</v>
      </c>
      <c r="G61" s="25"/>
      <c r="H61" s="25"/>
    </row>
    <row r="62" spans="1:8" x14ac:dyDescent="0.45">
      <c r="A62" s="25"/>
      <c r="B62" s="1056"/>
      <c r="C62" s="7" t="s">
        <v>333</v>
      </c>
      <c r="D62" s="7" t="s">
        <v>973</v>
      </c>
      <c r="E62" s="9" t="s">
        <v>333</v>
      </c>
      <c r="F62" s="241" t="s">
        <v>203</v>
      </c>
      <c r="G62" s="25"/>
      <c r="H62" s="25"/>
    </row>
    <row r="63" spans="1:8" x14ac:dyDescent="0.45">
      <c r="A63" s="25"/>
      <c r="B63" s="1056"/>
      <c r="C63" s="7" t="s">
        <v>974</v>
      </c>
      <c r="D63" s="7" t="s">
        <v>975</v>
      </c>
      <c r="E63" s="9" t="s">
        <v>336</v>
      </c>
      <c r="F63" s="245" t="s">
        <v>205</v>
      </c>
      <c r="G63" s="25"/>
      <c r="H63" s="25"/>
    </row>
    <row r="64" spans="1:8" x14ac:dyDescent="0.45">
      <c r="A64" s="25"/>
      <c r="B64" s="1056"/>
      <c r="C64" s="1059" t="s">
        <v>976</v>
      </c>
      <c r="D64" s="7" t="s">
        <v>977</v>
      </c>
      <c r="E64" s="9" t="s">
        <v>349</v>
      </c>
      <c r="F64" s="241" t="s">
        <v>203</v>
      </c>
      <c r="G64" s="25"/>
      <c r="H64" s="25"/>
    </row>
    <row r="65" spans="1:8" x14ac:dyDescent="0.45">
      <c r="A65" s="25"/>
      <c r="B65" s="1056"/>
      <c r="C65" s="1059"/>
      <c r="D65" s="7" t="s">
        <v>978</v>
      </c>
      <c r="E65" s="9" t="s">
        <v>979</v>
      </c>
      <c r="F65" s="247" t="s">
        <v>331</v>
      </c>
      <c r="G65" s="25"/>
      <c r="H65" s="25"/>
    </row>
    <row r="66" spans="1:8" x14ac:dyDescent="0.45">
      <c r="A66" s="25"/>
      <c r="B66" s="1056"/>
      <c r="C66" s="7" t="s">
        <v>980</v>
      </c>
      <c r="D66" s="7" t="s">
        <v>981</v>
      </c>
      <c r="E66" s="9" t="s">
        <v>982</v>
      </c>
      <c r="F66" s="245" t="s">
        <v>205</v>
      </c>
      <c r="G66" s="25"/>
      <c r="H66" s="25"/>
    </row>
    <row r="67" spans="1:8" x14ac:dyDescent="0.45">
      <c r="A67" s="25"/>
      <c r="B67" s="1056"/>
      <c r="C67" s="7" t="s">
        <v>983</v>
      </c>
      <c r="D67" s="7" t="s">
        <v>984</v>
      </c>
      <c r="E67" s="9" t="s">
        <v>338</v>
      </c>
      <c r="F67" s="241" t="s">
        <v>203</v>
      </c>
      <c r="G67" s="25"/>
      <c r="H67" s="25"/>
    </row>
    <row r="68" spans="1:8" x14ac:dyDescent="0.45">
      <c r="A68" s="25"/>
      <c r="B68" s="1056"/>
      <c r="C68" s="1059" t="s">
        <v>985</v>
      </c>
      <c r="D68" s="7" t="s">
        <v>986</v>
      </c>
      <c r="E68" s="9" t="s">
        <v>339</v>
      </c>
      <c r="F68" s="241" t="s">
        <v>203</v>
      </c>
      <c r="G68" s="25"/>
      <c r="H68" s="25"/>
    </row>
    <row r="69" spans="1:8" x14ac:dyDescent="0.45">
      <c r="A69" s="25"/>
      <c r="B69" s="1056"/>
      <c r="C69" s="1059"/>
      <c r="D69" s="7" t="s">
        <v>987</v>
      </c>
      <c r="E69" s="9" t="s">
        <v>340</v>
      </c>
      <c r="F69" s="241" t="s">
        <v>203</v>
      </c>
      <c r="G69" s="25"/>
      <c r="H69" s="25"/>
    </row>
    <row r="70" spans="1:8" x14ac:dyDescent="0.45">
      <c r="A70" s="25"/>
      <c r="B70" s="1056"/>
      <c r="C70" s="7" t="s">
        <v>988</v>
      </c>
      <c r="D70" s="7" t="s">
        <v>989</v>
      </c>
      <c r="E70" s="9" t="s">
        <v>337</v>
      </c>
      <c r="F70" s="247" t="s">
        <v>331</v>
      </c>
      <c r="G70" s="25"/>
      <c r="H70" s="25"/>
    </row>
    <row r="71" spans="1:8" x14ac:dyDescent="0.45">
      <c r="A71" s="25"/>
      <c r="B71" s="1056"/>
      <c r="C71" s="7" t="s">
        <v>990</v>
      </c>
      <c r="D71" s="7" t="s">
        <v>991</v>
      </c>
      <c r="E71" s="9" t="s">
        <v>322</v>
      </c>
      <c r="F71" s="241" t="s">
        <v>203</v>
      </c>
      <c r="G71" s="25"/>
      <c r="H71" s="25"/>
    </row>
    <row r="72" spans="1:8" x14ac:dyDescent="0.45">
      <c r="A72" s="25"/>
      <c r="B72" s="1056"/>
      <c r="C72" s="7" t="s">
        <v>992</v>
      </c>
      <c r="D72" s="7" t="s">
        <v>993</v>
      </c>
      <c r="E72" s="9" t="s">
        <v>343</v>
      </c>
      <c r="F72" s="241" t="s">
        <v>203</v>
      </c>
      <c r="G72" s="25"/>
      <c r="H72" s="25"/>
    </row>
    <row r="73" spans="1:8" x14ac:dyDescent="0.45">
      <c r="A73" s="25"/>
      <c r="B73" s="1056"/>
      <c r="C73" s="7" t="s">
        <v>994</v>
      </c>
      <c r="D73" s="7" t="s">
        <v>995</v>
      </c>
      <c r="E73" s="9" t="s">
        <v>330</v>
      </c>
      <c r="F73" s="247" t="s">
        <v>331</v>
      </c>
      <c r="G73" s="25"/>
      <c r="H73" s="25"/>
    </row>
    <row r="74" spans="1:8" x14ac:dyDescent="0.45">
      <c r="A74" s="25"/>
      <c r="B74" s="1056"/>
      <c r="C74" s="7" t="s">
        <v>996</v>
      </c>
      <c r="D74" s="7" t="s">
        <v>997</v>
      </c>
      <c r="E74" s="9" t="s">
        <v>341</v>
      </c>
      <c r="F74" s="241" t="s">
        <v>203</v>
      </c>
      <c r="G74" s="25"/>
      <c r="H74" s="25"/>
    </row>
    <row r="75" spans="1:8" x14ac:dyDescent="0.45">
      <c r="A75" s="25"/>
      <c r="B75" s="1056"/>
      <c r="C75" s="7" t="s">
        <v>998</v>
      </c>
      <c r="D75" s="7" t="s">
        <v>999</v>
      </c>
      <c r="E75" s="9" t="s">
        <v>1000</v>
      </c>
      <c r="F75" s="241" t="s">
        <v>203</v>
      </c>
      <c r="G75" s="25"/>
      <c r="H75" s="25"/>
    </row>
    <row r="76" spans="1:8" x14ac:dyDescent="0.45">
      <c r="A76" s="25"/>
      <c r="B76" s="1056"/>
      <c r="C76" s="7" t="s">
        <v>1001</v>
      </c>
      <c r="D76" s="7" t="s">
        <v>1002</v>
      </c>
      <c r="E76" s="9" t="s">
        <v>1003</v>
      </c>
      <c r="F76" s="241" t="s">
        <v>203</v>
      </c>
      <c r="G76" s="25"/>
      <c r="H76" s="25"/>
    </row>
    <row r="77" spans="1:8" x14ac:dyDescent="0.45">
      <c r="A77" s="25"/>
      <c r="B77" s="1056"/>
      <c r="C77" s="1059" t="s">
        <v>1004</v>
      </c>
      <c r="D77" s="7" t="s">
        <v>1005</v>
      </c>
      <c r="E77" s="9" t="s">
        <v>344</v>
      </c>
      <c r="F77" s="241" t="s">
        <v>203</v>
      </c>
      <c r="G77" s="25"/>
      <c r="H77" s="25"/>
    </row>
    <row r="78" spans="1:8" x14ac:dyDescent="0.45">
      <c r="A78" s="25"/>
      <c r="B78" s="1056"/>
      <c r="C78" s="1059"/>
      <c r="D78" s="7" t="s">
        <v>1006</v>
      </c>
      <c r="E78" s="9" t="s">
        <v>1007</v>
      </c>
      <c r="F78" s="241" t="s">
        <v>203</v>
      </c>
      <c r="G78" s="25"/>
      <c r="H78" s="25"/>
    </row>
    <row r="79" spans="1:8" ht="14.65" thickBot="1" x14ac:dyDescent="0.5">
      <c r="A79" s="25"/>
      <c r="B79" s="1057"/>
      <c r="C79" s="229" t="s">
        <v>1008</v>
      </c>
      <c r="D79" s="229" t="s">
        <v>1009</v>
      </c>
      <c r="E79" s="242" t="s">
        <v>335</v>
      </c>
      <c r="F79" s="251" t="s">
        <v>331</v>
      </c>
      <c r="G79" s="25"/>
      <c r="H79" s="25"/>
    </row>
    <row r="80" spans="1:8" x14ac:dyDescent="0.45">
      <c r="A80" s="25"/>
      <c r="B80" s="1055" t="s">
        <v>213</v>
      </c>
      <c r="C80" s="1058" t="s">
        <v>1010</v>
      </c>
      <c r="D80" s="257" t="s">
        <v>1011</v>
      </c>
      <c r="E80" s="239" t="s">
        <v>351</v>
      </c>
      <c r="F80" s="240" t="s">
        <v>203</v>
      </c>
      <c r="G80" s="25"/>
      <c r="H80" s="25"/>
    </row>
    <row r="81" spans="1:8" x14ac:dyDescent="0.45">
      <c r="A81" s="25"/>
      <c r="B81" s="1056"/>
      <c r="C81" s="1059"/>
      <c r="D81" s="7" t="s">
        <v>1012</v>
      </c>
      <c r="E81" s="9" t="s">
        <v>1013</v>
      </c>
      <c r="F81" s="245" t="s">
        <v>205</v>
      </c>
      <c r="G81" s="25"/>
      <c r="H81" s="25"/>
    </row>
    <row r="82" spans="1:8" x14ac:dyDescent="0.45">
      <c r="A82" s="25"/>
      <c r="B82" s="1056"/>
      <c r="C82" s="7" t="s">
        <v>1014</v>
      </c>
      <c r="D82" s="7" t="s">
        <v>1015</v>
      </c>
      <c r="E82" s="9" t="s">
        <v>353</v>
      </c>
      <c r="F82" s="245" t="s">
        <v>205</v>
      </c>
      <c r="G82" s="25"/>
      <c r="H82" s="25"/>
    </row>
    <row r="83" spans="1:8" ht="14.65" thickBot="1" x14ac:dyDescent="0.5">
      <c r="A83" s="25"/>
      <c r="B83" s="1057"/>
      <c r="C83" s="229" t="s">
        <v>1016</v>
      </c>
      <c r="D83" s="229" t="s">
        <v>1017</v>
      </c>
      <c r="E83" s="242" t="s">
        <v>354</v>
      </c>
      <c r="F83" s="246" t="s">
        <v>205</v>
      </c>
      <c r="G83" s="25"/>
      <c r="H83" s="25"/>
    </row>
    <row r="84" spans="1:8" x14ac:dyDescent="0.45">
      <c r="A84" s="25"/>
      <c r="B84" s="25"/>
      <c r="C84" s="25"/>
      <c r="D84" s="25"/>
      <c r="E84" s="25"/>
      <c r="F84" s="25"/>
      <c r="G84" s="25"/>
      <c r="H84" s="25"/>
    </row>
    <row r="85" spans="1:8" x14ac:dyDescent="0.45">
      <c r="A85" s="25"/>
      <c r="B85" s="25"/>
      <c r="C85" s="25"/>
      <c r="D85" s="25"/>
      <c r="E85" s="25"/>
      <c r="F85" s="25"/>
      <c r="G85" s="25"/>
      <c r="H85" s="25"/>
    </row>
    <row r="86" spans="1:8" x14ac:dyDescent="0.45">
      <c r="A86" s="25"/>
      <c r="B86" s="25"/>
      <c r="C86" s="25"/>
      <c r="D86" s="25"/>
      <c r="E86" s="25"/>
      <c r="F86" s="25"/>
      <c r="G86" s="25"/>
      <c r="H86" s="25"/>
    </row>
    <row r="87" spans="1:8" x14ac:dyDescent="0.45">
      <c r="A87" s="25"/>
      <c r="B87" s="25"/>
      <c r="C87" s="25"/>
      <c r="D87" s="25"/>
      <c r="E87" s="25"/>
      <c r="F87" s="25"/>
      <c r="G87" s="25"/>
      <c r="H87" s="25"/>
    </row>
    <row r="88" spans="1:8" x14ac:dyDescent="0.45">
      <c r="A88" s="25"/>
      <c r="B88" s="25"/>
      <c r="C88" s="25"/>
      <c r="D88" s="25"/>
      <c r="E88" s="25"/>
      <c r="F88" s="25"/>
      <c r="G88" s="25"/>
      <c r="H88" s="25"/>
    </row>
    <row r="89" spans="1:8" hidden="1" x14ac:dyDescent="0.45">
      <c r="A89" s="25"/>
      <c r="B89" s="25"/>
      <c r="C89" s="25"/>
      <c r="D89" s="25"/>
      <c r="E89" s="25"/>
      <c r="F89" s="25"/>
      <c r="G89" s="25"/>
      <c r="H89" s="25"/>
    </row>
    <row r="90" spans="1:8" hidden="1" x14ac:dyDescent="0.45">
      <c r="A90" s="25"/>
      <c r="B90" s="25"/>
      <c r="C90" s="25"/>
      <c r="D90" s="25"/>
      <c r="E90" s="25"/>
      <c r="F90" s="25"/>
      <c r="G90" s="25"/>
      <c r="H90" s="25"/>
    </row>
    <row r="91" spans="1:8" hidden="1" x14ac:dyDescent="0.45">
      <c r="A91" s="25"/>
      <c r="B91" s="25"/>
      <c r="C91" s="25"/>
      <c r="D91" s="25"/>
      <c r="E91" s="25"/>
      <c r="F91" s="25"/>
      <c r="G91" s="25"/>
      <c r="H91" s="25"/>
    </row>
    <row r="92" spans="1:8" hidden="1" x14ac:dyDescent="0.45">
      <c r="A92" s="25"/>
      <c r="B92" s="25"/>
      <c r="C92" s="25"/>
      <c r="D92" s="25"/>
      <c r="E92" s="25"/>
      <c r="F92" s="25"/>
      <c r="G92" s="25"/>
      <c r="H92" s="25"/>
    </row>
    <row r="93" spans="1:8" hidden="1" x14ac:dyDescent="0.45">
      <c r="A93" s="25"/>
      <c r="B93" s="25"/>
      <c r="C93" s="25"/>
      <c r="D93" s="25"/>
      <c r="E93" s="25"/>
      <c r="F93" s="25"/>
      <c r="G93" s="25"/>
      <c r="H93" s="25"/>
    </row>
    <row r="94" spans="1:8" hidden="1" x14ac:dyDescent="0.45">
      <c r="A94" s="25"/>
      <c r="B94" s="25"/>
      <c r="C94" s="25"/>
      <c r="D94" s="25"/>
      <c r="E94" s="25"/>
      <c r="F94" s="25"/>
      <c r="G94" s="25"/>
      <c r="H94" s="25"/>
    </row>
    <row r="95" spans="1:8" hidden="1" x14ac:dyDescent="0.45">
      <c r="A95" s="25"/>
      <c r="B95" s="25"/>
      <c r="C95" s="25"/>
      <c r="D95" s="25"/>
      <c r="E95" s="25"/>
      <c r="F95" s="25"/>
      <c r="G95" s="25"/>
      <c r="H95" s="25"/>
    </row>
    <row r="96" spans="1:8" hidden="1" x14ac:dyDescent="0.45">
      <c r="A96" s="25"/>
      <c r="B96" s="25"/>
      <c r="C96" s="25"/>
      <c r="D96" s="25"/>
      <c r="E96" s="25"/>
      <c r="F96" s="25"/>
      <c r="G96" s="25"/>
      <c r="H96" s="25"/>
    </row>
    <row r="97" spans="1:8" hidden="1" x14ac:dyDescent="0.45">
      <c r="A97" s="25"/>
      <c r="B97" s="25"/>
      <c r="C97" s="25"/>
      <c r="D97" s="25"/>
      <c r="E97" s="25"/>
      <c r="F97" s="25"/>
      <c r="G97" s="25"/>
      <c r="H97" s="25"/>
    </row>
    <row r="98" spans="1:8" hidden="1" x14ac:dyDescent="0.45">
      <c r="A98" s="25"/>
      <c r="B98" s="25"/>
      <c r="C98" s="25"/>
      <c r="D98" s="25"/>
      <c r="E98" s="25"/>
      <c r="F98" s="25"/>
      <c r="G98" s="25"/>
      <c r="H98" s="25"/>
    </row>
    <row r="99" spans="1:8" hidden="1" x14ac:dyDescent="0.45">
      <c r="A99" s="25"/>
      <c r="B99" s="25"/>
      <c r="C99" s="25"/>
      <c r="D99" s="25"/>
      <c r="E99" s="25"/>
      <c r="F99" s="25"/>
      <c r="G99" s="25"/>
      <c r="H99" s="25"/>
    </row>
    <row r="100" spans="1:8" hidden="1" x14ac:dyDescent="0.45">
      <c r="A100" s="25"/>
      <c r="B100" s="25"/>
      <c r="C100" s="25"/>
      <c r="D100" s="25"/>
      <c r="E100" s="25"/>
      <c r="F100" s="25"/>
      <c r="G100" s="25"/>
      <c r="H100" s="25"/>
    </row>
    <row r="101" spans="1:8" hidden="1" x14ac:dyDescent="0.45">
      <c r="A101" s="25"/>
      <c r="B101" s="25"/>
      <c r="C101" s="25"/>
      <c r="D101" s="25"/>
      <c r="E101" s="25"/>
      <c r="F101" s="25"/>
      <c r="G101" s="25"/>
      <c r="H101" s="25"/>
    </row>
    <row r="102" spans="1:8" hidden="1" x14ac:dyDescent="0.45">
      <c r="A102" s="25"/>
      <c r="B102" s="25"/>
      <c r="C102" s="25"/>
      <c r="D102" s="25"/>
      <c r="E102" s="25"/>
      <c r="F102" s="25"/>
      <c r="G102" s="25"/>
      <c r="H102" s="25"/>
    </row>
    <row r="103" spans="1:8" hidden="1" x14ac:dyDescent="0.45">
      <c r="A103" s="25"/>
      <c r="B103" s="25"/>
      <c r="C103" s="25"/>
      <c r="D103" s="25"/>
      <c r="E103" s="25"/>
      <c r="F103" s="25"/>
      <c r="G103" s="25"/>
      <c r="H103" s="25"/>
    </row>
    <row r="104" spans="1:8" hidden="1" x14ac:dyDescent="0.45">
      <c r="A104" s="25"/>
      <c r="B104" s="25"/>
      <c r="C104" s="25"/>
      <c r="D104" s="25"/>
      <c r="E104" s="25"/>
      <c r="F104" s="25"/>
      <c r="G104" s="25"/>
      <c r="H104" s="25"/>
    </row>
    <row r="105" spans="1:8" hidden="1" x14ac:dyDescent="0.45">
      <c r="A105" s="25"/>
      <c r="B105" s="25"/>
      <c r="C105" s="25"/>
      <c r="D105" s="25"/>
      <c r="E105" s="25"/>
      <c r="F105" s="25"/>
      <c r="G105" s="25"/>
      <c r="H105" s="25"/>
    </row>
    <row r="106" spans="1:8" hidden="1" x14ac:dyDescent="0.45">
      <c r="A106" s="25"/>
      <c r="B106" s="25"/>
      <c r="C106" s="25"/>
      <c r="D106" s="25"/>
      <c r="E106" s="25"/>
      <c r="F106" s="25"/>
      <c r="G106" s="25"/>
      <c r="H106" s="25"/>
    </row>
    <row r="107" spans="1:8" hidden="1" x14ac:dyDescent="0.45">
      <c r="A107" s="25"/>
      <c r="B107" s="25"/>
      <c r="C107" s="25"/>
      <c r="D107" s="25"/>
      <c r="E107" s="25"/>
      <c r="F107" s="25"/>
      <c r="G107" s="25"/>
      <c r="H107" s="25"/>
    </row>
    <row r="108" spans="1:8" hidden="1" x14ac:dyDescent="0.45">
      <c r="A108" s="25"/>
      <c r="B108" s="25"/>
      <c r="C108" s="25"/>
      <c r="D108" s="25"/>
      <c r="E108" s="25"/>
      <c r="F108" s="25"/>
      <c r="G108" s="25"/>
      <c r="H108" s="25"/>
    </row>
    <row r="109" spans="1:8" hidden="1" x14ac:dyDescent="0.45">
      <c r="A109" s="25"/>
      <c r="B109" s="25"/>
      <c r="C109" s="25"/>
      <c r="D109" s="25"/>
      <c r="E109" s="25"/>
      <c r="F109" s="25"/>
      <c r="G109" s="25"/>
      <c r="H109" s="25"/>
    </row>
    <row r="110" spans="1:8" hidden="1" x14ac:dyDescent="0.45">
      <c r="A110" s="25"/>
      <c r="B110" s="25"/>
      <c r="C110" s="25"/>
      <c r="D110" s="25"/>
      <c r="E110" s="25"/>
      <c r="F110" s="25"/>
      <c r="G110" s="25"/>
      <c r="H110" s="25"/>
    </row>
    <row r="111" spans="1:8" hidden="1" x14ac:dyDescent="0.45">
      <c r="A111" s="25"/>
      <c r="B111" s="25"/>
      <c r="C111" s="25"/>
      <c r="D111" s="25"/>
      <c r="E111" s="25"/>
      <c r="F111" s="25"/>
      <c r="G111" s="25"/>
      <c r="H111" s="25"/>
    </row>
    <row r="112" spans="1:8" hidden="1" x14ac:dyDescent="0.45">
      <c r="A112" s="25"/>
      <c r="B112" s="25"/>
      <c r="C112" s="25"/>
      <c r="D112" s="25"/>
      <c r="E112" s="25"/>
      <c r="F112" s="25"/>
      <c r="G112" s="25"/>
      <c r="H112" s="25"/>
    </row>
    <row r="113" spans="1:8" hidden="1" x14ac:dyDescent="0.45">
      <c r="A113" s="25"/>
      <c r="B113" s="25"/>
      <c r="C113" s="25"/>
      <c r="D113" s="25"/>
      <c r="E113" s="25"/>
      <c r="F113" s="25"/>
      <c r="G113" s="25"/>
      <c r="H113" s="25"/>
    </row>
    <row r="114" spans="1:8" hidden="1" x14ac:dyDescent="0.45">
      <c r="A114" s="25"/>
      <c r="B114" s="25"/>
      <c r="C114" s="25"/>
      <c r="D114" s="25"/>
      <c r="E114" s="25"/>
      <c r="F114" s="25"/>
      <c r="G114" s="25"/>
      <c r="H114" s="25"/>
    </row>
    <row r="115" spans="1:8" hidden="1" x14ac:dyDescent="0.45">
      <c r="A115" s="25"/>
      <c r="B115" s="25"/>
      <c r="C115" s="25"/>
      <c r="D115" s="25"/>
      <c r="E115" s="25"/>
      <c r="F115" s="25"/>
      <c r="G115" s="25"/>
      <c r="H115" s="25"/>
    </row>
    <row r="116" spans="1:8" hidden="1" x14ac:dyDescent="0.45">
      <c r="A116" s="25"/>
      <c r="B116" s="25"/>
      <c r="C116" s="25"/>
      <c r="D116" s="25"/>
      <c r="E116" s="25"/>
      <c r="F116" s="25"/>
      <c r="G116" s="25"/>
      <c r="H116" s="25"/>
    </row>
    <row r="117" spans="1:8" hidden="1" x14ac:dyDescent="0.45">
      <c r="A117" s="25"/>
      <c r="B117" s="25"/>
      <c r="C117" s="25"/>
      <c r="D117" s="25"/>
      <c r="E117" s="25"/>
      <c r="F117" s="25"/>
      <c r="G117" s="25"/>
      <c r="H117" s="25"/>
    </row>
    <row r="118" spans="1:8" hidden="1" x14ac:dyDescent="0.45">
      <c r="A118" s="25"/>
      <c r="B118" s="25"/>
      <c r="C118" s="25"/>
      <c r="D118" s="25"/>
      <c r="E118" s="25"/>
      <c r="F118" s="25"/>
      <c r="G118" s="25"/>
      <c r="H118" s="25"/>
    </row>
    <row r="119" spans="1:8" hidden="1" x14ac:dyDescent="0.45">
      <c r="A119" s="25"/>
      <c r="B119" s="25"/>
      <c r="C119" s="25"/>
      <c r="D119" s="25"/>
      <c r="E119" s="25"/>
      <c r="F119" s="25"/>
      <c r="G119" s="25"/>
      <c r="H119" s="25"/>
    </row>
    <row r="120" spans="1:8" hidden="1" x14ac:dyDescent="0.45">
      <c r="A120" s="25"/>
      <c r="B120" s="25"/>
      <c r="C120" s="25"/>
      <c r="D120" s="25"/>
      <c r="E120" s="25"/>
      <c r="F120" s="25"/>
      <c r="G120" s="25"/>
      <c r="H120" s="25"/>
    </row>
    <row r="121" spans="1:8" hidden="1" x14ac:dyDescent="0.45">
      <c r="A121" s="25"/>
      <c r="B121" s="25"/>
      <c r="C121" s="25"/>
      <c r="D121" s="25"/>
      <c r="E121" s="25"/>
      <c r="F121" s="25"/>
      <c r="G121" s="25"/>
      <c r="H121" s="25"/>
    </row>
    <row r="122" spans="1:8" hidden="1" x14ac:dyDescent="0.45">
      <c r="A122" s="25"/>
      <c r="B122" s="25"/>
      <c r="C122" s="25"/>
      <c r="D122" s="25"/>
      <c r="E122" s="25"/>
      <c r="F122" s="25"/>
      <c r="G122" s="25"/>
      <c r="H122" s="25"/>
    </row>
    <row r="123" spans="1:8" hidden="1" x14ac:dyDescent="0.45">
      <c r="A123" s="25"/>
      <c r="B123" s="25"/>
      <c r="C123" s="25"/>
      <c r="D123" s="25"/>
      <c r="E123" s="25"/>
      <c r="F123" s="25"/>
      <c r="G123" s="25"/>
      <c r="H123" s="25"/>
    </row>
    <row r="124" spans="1:8" hidden="1" x14ac:dyDescent="0.45">
      <c r="A124" s="25"/>
      <c r="B124" s="25"/>
      <c r="C124" s="25"/>
      <c r="D124" s="25"/>
      <c r="E124" s="25"/>
      <c r="F124" s="25"/>
      <c r="G124" s="25"/>
      <c r="H124" s="25"/>
    </row>
    <row r="125" spans="1:8" hidden="1" x14ac:dyDescent="0.45">
      <c r="A125" s="25"/>
      <c r="B125" s="25"/>
      <c r="C125" s="25"/>
      <c r="D125" s="25"/>
      <c r="E125" s="25"/>
      <c r="F125" s="25"/>
      <c r="G125" s="25"/>
      <c r="H125" s="25"/>
    </row>
    <row r="126" spans="1:8" hidden="1" x14ac:dyDescent="0.45">
      <c r="A126" s="25"/>
      <c r="B126" s="25"/>
      <c r="C126" s="25"/>
      <c r="D126" s="25"/>
      <c r="E126" s="25"/>
      <c r="F126" s="25"/>
      <c r="G126" s="25"/>
      <c r="H126" s="25"/>
    </row>
    <row r="127" spans="1:8" hidden="1" x14ac:dyDescent="0.45">
      <c r="A127" s="25"/>
      <c r="B127" s="25"/>
      <c r="C127" s="25"/>
      <c r="D127" s="25"/>
      <c r="E127" s="25"/>
      <c r="F127" s="25"/>
      <c r="G127" s="25"/>
      <c r="H127" s="25"/>
    </row>
    <row r="128" spans="1:8" hidden="1" x14ac:dyDescent="0.45">
      <c r="A128" s="25"/>
      <c r="B128" s="25"/>
      <c r="C128" s="25"/>
      <c r="D128" s="25"/>
      <c r="E128" s="25"/>
      <c r="F128" s="25"/>
      <c r="G128" s="25"/>
      <c r="H128" s="25"/>
    </row>
    <row r="129" spans="1:8" hidden="1" x14ac:dyDescent="0.45">
      <c r="A129" s="25"/>
      <c r="B129" s="25"/>
      <c r="C129" s="25"/>
      <c r="D129" s="25"/>
      <c r="E129" s="25"/>
      <c r="F129" s="25"/>
      <c r="G129" s="25"/>
      <c r="H129" s="25"/>
    </row>
    <row r="130" spans="1:8" hidden="1" x14ac:dyDescent="0.45">
      <c r="A130" s="25"/>
      <c r="B130" s="25"/>
      <c r="C130" s="25"/>
      <c r="D130" s="25"/>
      <c r="E130" s="25"/>
      <c r="F130" s="25"/>
      <c r="G130" s="25"/>
      <c r="H130" s="25"/>
    </row>
    <row r="131" spans="1:8" hidden="1" x14ac:dyDescent="0.45">
      <c r="A131" s="25"/>
      <c r="B131" s="25"/>
      <c r="C131" s="25"/>
      <c r="D131" s="25"/>
      <c r="E131" s="25"/>
      <c r="F131" s="25"/>
      <c r="G131" s="25"/>
      <c r="H131" s="25"/>
    </row>
    <row r="132" spans="1:8" hidden="1" x14ac:dyDescent="0.45">
      <c r="A132" s="25"/>
      <c r="B132" s="25"/>
      <c r="C132" s="25"/>
      <c r="D132" s="25"/>
      <c r="E132" s="25"/>
      <c r="F132" s="25"/>
      <c r="G132" s="25"/>
      <c r="H132" s="25"/>
    </row>
    <row r="133" spans="1:8" hidden="1" x14ac:dyDescent="0.45">
      <c r="A133" s="25"/>
      <c r="B133" s="25"/>
      <c r="C133" s="25"/>
      <c r="D133" s="25"/>
      <c r="E133" s="25"/>
      <c r="F133" s="25"/>
      <c r="G133" s="25"/>
      <c r="H133" s="25"/>
    </row>
    <row r="134" spans="1:8" hidden="1" x14ac:dyDescent="0.45">
      <c r="A134" s="25"/>
      <c r="B134" s="25"/>
      <c r="C134" s="25"/>
      <c r="D134" s="25"/>
      <c r="E134" s="25"/>
      <c r="F134" s="25"/>
      <c r="G134" s="25"/>
      <c r="H134" s="25"/>
    </row>
    <row r="135" spans="1:8" hidden="1" x14ac:dyDescent="0.45">
      <c r="A135" s="25"/>
      <c r="B135" s="25"/>
      <c r="C135" s="25"/>
      <c r="D135" s="25"/>
      <c r="E135" s="25"/>
      <c r="F135" s="25"/>
      <c r="G135" s="25"/>
      <c r="H135" s="25"/>
    </row>
    <row r="136" spans="1:8" hidden="1" x14ac:dyDescent="0.45">
      <c r="A136" s="25"/>
      <c r="B136" s="25"/>
      <c r="C136" s="25"/>
      <c r="D136" s="25"/>
      <c r="E136" s="25"/>
      <c r="F136" s="25"/>
      <c r="G136" s="25"/>
      <c r="H136" s="25"/>
    </row>
    <row r="137" spans="1:8" hidden="1" x14ac:dyDescent="0.45">
      <c r="A137" s="25"/>
      <c r="B137" s="25"/>
      <c r="C137" s="25"/>
      <c r="D137" s="25"/>
      <c r="E137" s="25"/>
      <c r="F137" s="25"/>
      <c r="G137" s="25"/>
      <c r="H137" s="25"/>
    </row>
    <row r="138" spans="1:8" hidden="1" x14ac:dyDescent="0.45">
      <c r="A138" s="25"/>
      <c r="B138" s="25"/>
      <c r="C138" s="25"/>
      <c r="D138" s="25"/>
      <c r="E138" s="25"/>
      <c r="F138" s="25"/>
      <c r="G138" s="25"/>
      <c r="H138" s="25"/>
    </row>
    <row r="139" spans="1:8" hidden="1" x14ac:dyDescent="0.45">
      <c r="A139" s="25"/>
      <c r="B139" s="25"/>
      <c r="C139" s="25"/>
      <c r="D139" s="25"/>
      <c r="E139" s="25"/>
      <c r="F139" s="25"/>
      <c r="G139" s="25"/>
      <c r="H139" s="25"/>
    </row>
    <row r="140" spans="1:8" hidden="1" x14ac:dyDescent="0.45">
      <c r="A140" s="25"/>
      <c r="B140" s="25"/>
      <c r="C140" s="25"/>
      <c r="D140" s="25"/>
      <c r="E140" s="25"/>
      <c r="F140" s="25"/>
      <c r="G140" s="25"/>
      <c r="H140" s="25"/>
    </row>
    <row r="141" spans="1:8" hidden="1" x14ac:dyDescent="0.45">
      <c r="A141" s="25"/>
      <c r="B141" s="25"/>
      <c r="C141" s="25"/>
      <c r="D141" s="25"/>
      <c r="E141" s="25"/>
      <c r="F141" s="25"/>
      <c r="G141" s="25"/>
      <c r="H141" s="25"/>
    </row>
    <row r="142" spans="1:8" hidden="1" x14ac:dyDescent="0.45">
      <c r="A142" s="25"/>
      <c r="B142" s="25"/>
      <c r="C142" s="25"/>
      <c r="D142" s="25"/>
      <c r="E142" s="25"/>
      <c r="F142" s="25"/>
      <c r="G142" s="25"/>
      <c r="H142" s="25"/>
    </row>
    <row r="143" spans="1:8" hidden="1" x14ac:dyDescent="0.45">
      <c r="A143" s="25"/>
      <c r="B143" s="25"/>
      <c r="C143" s="25"/>
      <c r="D143" s="25"/>
      <c r="E143" s="25"/>
      <c r="F143" s="25"/>
      <c r="G143" s="25"/>
      <c r="H143" s="25"/>
    </row>
    <row r="144" spans="1:8" hidden="1" x14ac:dyDescent="0.45">
      <c r="A144" s="25"/>
      <c r="B144" s="25"/>
      <c r="C144" s="25"/>
      <c r="D144" s="25"/>
      <c r="E144" s="25"/>
      <c r="F144" s="25"/>
      <c r="G144" s="25"/>
      <c r="H144" s="25"/>
    </row>
    <row r="145" spans="1:8" hidden="1" x14ac:dyDescent="0.45">
      <c r="A145" s="25"/>
      <c r="B145" s="25"/>
      <c r="C145" s="25"/>
      <c r="D145" s="25"/>
      <c r="E145" s="25"/>
      <c r="F145" s="25"/>
      <c r="G145" s="25"/>
      <c r="H145" s="25"/>
    </row>
    <row r="146" spans="1:8" hidden="1" x14ac:dyDescent="0.45">
      <c r="A146" s="25"/>
      <c r="B146" s="25"/>
      <c r="C146" s="25"/>
      <c r="D146" s="25"/>
      <c r="E146" s="25"/>
      <c r="F146" s="25"/>
      <c r="G146" s="25"/>
      <c r="H146" s="25"/>
    </row>
    <row r="147" spans="1:8" hidden="1" x14ac:dyDescent="0.45">
      <c r="A147" s="25"/>
      <c r="B147" s="25"/>
      <c r="C147" s="25"/>
      <c r="D147" s="25"/>
      <c r="E147" s="25"/>
      <c r="F147" s="25"/>
      <c r="G147" s="25"/>
      <c r="H147" s="25"/>
    </row>
    <row r="148" spans="1:8" hidden="1" x14ac:dyDescent="0.45">
      <c r="A148" s="25"/>
      <c r="B148" s="25"/>
      <c r="C148" s="25"/>
      <c r="D148" s="25"/>
      <c r="E148" s="25"/>
      <c r="F148" s="25"/>
      <c r="G148" s="25"/>
      <c r="H148" s="25"/>
    </row>
    <row r="149" spans="1:8" hidden="1" x14ac:dyDescent="0.45">
      <c r="A149" s="25"/>
      <c r="B149" s="25"/>
      <c r="C149" s="25"/>
      <c r="D149" s="25"/>
      <c r="E149" s="25"/>
      <c r="F149" s="25"/>
      <c r="G149" s="25"/>
      <c r="H149" s="25"/>
    </row>
    <row r="150" spans="1:8" hidden="1" x14ac:dyDescent="0.45">
      <c r="A150" s="25"/>
      <c r="B150" s="25"/>
      <c r="C150" s="25"/>
      <c r="D150" s="25"/>
      <c r="E150" s="25"/>
      <c r="F150" s="25"/>
      <c r="G150" s="25"/>
      <c r="H150" s="25"/>
    </row>
    <row r="151" spans="1:8" hidden="1" x14ac:dyDescent="0.45">
      <c r="A151" s="25"/>
      <c r="B151" s="25"/>
      <c r="C151" s="25"/>
    </row>
    <row r="152" spans="1:8" hidden="1" x14ac:dyDescent="0.45">
      <c r="A152" s="25"/>
      <c r="B152" s="25"/>
      <c r="C152" s="25"/>
    </row>
    <row r="153" spans="1:8" hidden="1" x14ac:dyDescent="0.45">
      <c r="A153" s="25"/>
      <c r="B153" s="25"/>
      <c r="C153" s="25"/>
    </row>
    <row r="154" spans="1:8" hidden="1" x14ac:dyDescent="0.45">
      <c r="A154" s="25"/>
      <c r="B154" s="25"/>
      <c r="C154" s="25"/>
    </row>
    <row r="155" spans="1:8" hidden="1" x14ac:dyDescent="0.45">
      <c r="A155" s="25"/>
      <c r="B155" s="25"/>
      <c r="C155" s="25"/>
    </row>
    <row r="156" spans="1:8" hidden="1" x14ac:dyDescent="0.45">
      <c r="A156" s="25"/>
      <c r="B156" s="25"/>
      <c r="C156" s="25"/>
    </row>
    <row r="157" spans="1:8" hidden="1" x14ac:dyDescent="0.45">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7B7032-2DF6-4F5B-9CAF-D3F582EC019C}">
  <ds:schemaRefs>
    <ds:schemaRef ds:uri="http://purl.org/dc/elements/1.1/"/>
    <ds:schemaRef ds:uri="c2882a20-fcb3-4e62-b082-ac21ed701140"/>
    <ds:schemaRef ds:uri="e76eb3f9-f7d4-4afe-8d75-1839375753c6"/>
    <ds:schemaRef ds:uri="http://schemas.microsoft.com/office/infopath/2007/PartnerControls"/>
    <ds:schemaRef ds:uri="http://purl.org/dc/dcmitype/"/>
    <ds:schemaRef ds:uri="http://www.w3.org/XML/1998/namespace"/>
    <ds:schemaRef ds:uri="http://purl.org/dc/terms/"/>
    <ds:schemaRef ds:uri="662745e8-e224-48e8-a2e3-254862b8c2f5"/>
    <ds:schemaRef ds:uri="http://schemas.microsoft.com/office/2006/documentManagement/types"/>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Henry Mackenzie</cp:lastModifiedBy>
  <cp:revision/>
  <dcterms:created xsi:type="dcterms:W3CDTF">2020-09-14T13:04:31Z</dcterms:created>
  <dcterms:modified xsi:type="dcterms:W3CDTF">2025-03-17T17:16:07Z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